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icoleasch/Desktop/"/>
    </mc:Choice>
  </mc:AlternateContent>
  <bookViews>
    <workbookView xWindow="0" yWindow="460" windowWidth="25600" windowHeight="14480"/>
  </bookViews>
  <sheets>
    <sheet name="FY 18 Budget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13" i="1"/>
  <c r="B15" i="1"/>
  <c r="B25" i="1"/>
  <c r="B27" i="1"/>
  <c r="B28" i="1"/>
  <c r="B37" i="1"/>
  <c r="B38" i="1"/>
  <c r="B39" i="1"/>
  <c r="B42" i="1"/>
  <c r="B51" i="1"/>
  <c r="B52" i="1"/>
  <c r="B55" i="1"/>
  <c r="B57" i="1"/>
  <c r="B70" i="1"/>
  <c r="B76" i="1"/>
  <c r="B79" i="1"/>
  <c r="B82" i="1"/>
  <c r="B83" i="1"/>
  <c r="B86" i="1"/>
  <c r="B92" i="1"/>
  <c r="B95" i="1"/>
  <c r="B101" i="1"/>
  <c r="B107" i="1"/>
  <c r="B115" i="1"/>
  <c r="B116" i="1"/>
  <c r="B117" i="1"/>
  <c r="B118" i="1"/>
  <c r="C9" i="1"/>
  <c r="C10" i="1"/>
  <c r="C11" i="1"/>
  <c r="C13" i="1"/>
  <c r="C14" i="1"/>
  <c r="C15" i="1"/>
  <c r="C16" i="1"/>
  <c r="C18" i="1"/>
  <c r="C19" i="1"/>
  <c r="C20" i="1"/>
  <c r="C21" i="1"/>
  <c r="C22" i="1"/>
  <c r="C23" i="1"/>
  <c r="C24" i="1"/>
  <c r="C25" i="1"/>
  <c r="C27" i="1"/>
  <c r="C28" i="1"/>
  <c r="C29" i="1"/>
  <c r="C31" i="1"/>
  <c r="C32" i="1"/>
  <c r="C33" i="1"/>
  <c r="C34" i="1"/>
  <c r="C35" i="1"/>
  <c r="C36" i="1"/>
  <c r="C37" i="1"/>
  <c r="C38" i="1"/>
  <c r="C39" i="1"/>
  <c r="C42" i="1"/>
  <c r="C43" i="1"/>
  <c r="C44" i="1"/>
  <c r="C45" i="1"/>
  <c r="C46" i="1"/>
  <c r="C47" i="1"/>
  <c r="C48" i="1"/>
  <c r="C49" i="1"/>
  <c r="C50" i="1"/>
  <c r="C51" i="1"/>
  <c r="C52" i="1"/>
  <c r="C55" i="1"/>
  <c r="C56" i="1"/>
  <c r="C57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5" i="1"/>
  <c r="C86" i="1"/>
  <c r="C88" i="1"/>
  <c r="C89" i="1"/>
  <c r="C90" i="1"/>
  <c r="C91" i="1"/>
  <c r="C92" i="1"/>
  <c r="C94" i="1"/>
  <c r="C95" i="1"/>
  <c r="C97" i="1"/>
  <c r="C98" i="1"/>
  <c r="C99" i="1"/>
  <c r="C100" i="1"/>
  <c r="C101" i="1"/>
  <c r="C103" i="1"/>
  <c r="C104" i="1"/>
  <c r="C105" i="1"/>
  <c r="C106" i="1"/>
  <c r="C107" i="1"/>
  <c r="C109" i="1"/>
  <c r="C110" i="1"/>
  <c r="C111" i="1"/>
  <c r="C112" i="1"/>
  <c r="C113" i="1"/>
  <c r="C114" i="1"/>
  <c r="C115" i="1"/>
  <c r="C116" i="1"/>
  <c r="C117" i="1"/>
  <c r="C118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<sst xmlns="http://schemas.openxmlformats.org/spreadsheetml/2006/main" count="119" uniqueCount="115">
  <si>
    <t>Total</t>
  </si>
  <si>
    <t>Actual</t>
  </si>
  <si>
    <t>Budget</t>
  </si>
  <si>
    <t>over Budget</t>
  </si>
  <si>
    <t>Income</t>
  </si>
  <si>
    <t xml:space="preserve">   Back to School Cocktail Party</t>
  </si>
  <si>
    <t xml:space="preserve">      Bingo Board Proceeds</t>
  </si>
  <si>
    <t xml:space="preserve">   Total Back to School Cocktail Party</t>
  </si>
  <si>
    <t xml:space="preserve">   Dinner Nights</t>
  </si>
  <si>
    <t xml:space="preserve">   Direct Public Support</t>
  </si>
  <si>
    <t xml:space="preserve">      Corporate Contributions</t>
  </si>
  <si>
    <t xml:space="preserve">      Direct Ask</t>
  </si>
  <si>
    <t xml:space="preserve">   Total Direct Public Support</t>
  </si>
  <si>
    <t xml:space="preserve">   Friends of Foundation</t>
  </si>
  <si>
    <t xml:space="preserve">   Golf Tournament</t>
  </si>
  <si>
    <t xml:space="preserve">      Activity Tickets</t>
  </si>
  <si>
    <t xml:space="preserve">      Auction</t>
  </si>
  <si>
    <t xml:space="preserve">      Dinner tickets</t>
  </si>
  <si>
    <t xml:space="preserve">      Drink tickets</t>
  </si>
  <si>
    <t xml:space="preserve">      Entry fees</t>
  </si>
  <si>
    <t xml:space="preserve">      Raffle tickets</t>
  </si>
  <si>
    <t xml:space="preserve">      Sponsorships</t>
  </si>
  <si>
    <t xml:space="preserve">   Total Golf Tournament</t>
  </si>
  <si>
    <t xml:space="preserve">   Investments</t>
  </si>
  <si>
    <t xml:space="preserve">      Dividend, Interest (Securities)</t>
  </si>
  <si>
    <t xml:space="preserve">   Total Investments</t>
  </si>
  <si>
    <t xml:space="preserve">   School Supply Kits</t>
  </si>
  <si>
    <t xml:space="preserve">   Spring Fundraiser</t>
  </si>
  <si>
    <t xml:space="preserve">      Drink Tickets</t>
  </si>
  <si>
    <t xml:space="preserve">      Entry Fee</t>
  </si>
  <si>
    <t xml:space="preserve">      Premium Experience</t>
  </si>
  <si>
    <t xml:space="preserve">      Raffle</t>
  </si>
  <si>
    <t xml:space="preserve">      Silent and Live Auction</t>
  </si>
  <si>
    <t xml:space="preserve">   Total Spring Fundraiser</t>
  </si>
  <si>
    <t>Total Income</t>
  </si>
  <si>
    <t>Gross Profit</t>
  </si>
  <si>
    <t>Expenses</t>
  </si>
  <si>
    <t xml:space="preserve">   Administrative</t>
  </si>
  <si>
    <t xml:space="preserve">      Accounting Software</t>
  </si>
  <si>
    <t xml:space="preserve">      Business Registration Fees</t>
  </si>
  <si>
    <t xml:space="preserve">      Hospitality</t>
  </si>
  <si>
    <t xml:space="preserve">      Insurance</t>
  </si>
  <si>
    <t xml:space="preserve">      Postage, Mailing Service</t>
  </si>
  <si>
    <t xml:space="preserve">      Printing and Copying</t>
  </si>
  <si>
    <t xml:space="preserve">      Supplies</t>
  </si>
  <si>
    <t xml:space="preserve">      Tax Preparation/Audit Review</t>
  </si>
  <si>
    <t xml:space="preserve">      Website and IT</t>
  </si>
  <si>
    <t xml:space="preserve">   Total Administrative</t>
  </si>
  <si>
    <t xml:space="preserve">   Back-to-School Cocktail Party</t>
  </si>
  <si>
    <t xml:space="preserve">   Fundraising Expense</t>
  </si>
  <si>
    <t xml:space="preserve">      Direct Ask/Grizzly Growth Fund</t>
  </si>
  <si>
    <t xml:space="preserve">         Advertising/Promotional</t>
  </si>
  <si>
    <t xml:space="preserve">         Shopping cart/ CC Fees</t>
  </si>
  <si>
    <t xml:space="preserve">      Total Direct Ask/Grizzly Growth Fund</t>
  </si>
  <si>
    <t xml:space="preserve">      Golf Tournament</t>
  </si>
  <si>
    <t xml:space="preserve">         Advertising-banners and flyers</t>
  </si>
  <si>
    <t xml:space="preserve">         Auction</t>
  </si>
  <si>
    <t xml:space="preserve">         Club charges</t>
  </si>
  <si>
    <t xml:space="preserve">         Entertainment</t>
  </si>
  <si>
    <t xml:space="preserve">         Fairway signs</t>
  </si>
  <si>
    <t xml:space="preserve">         Food</t>
  </si>
  <si>
    <t xml:space="preserve">         Golf Prizes</t>
  </si>
  <si>
    <t xml:space="preserve">         Insurance</t>
  </si>
  <si>
    <t xml:space="preserve">         Miscellaneous Expenses</t>
  </si>
  <si>
    <t xml:space="preserve">         Photobooth</t>
  </si>
  <si>
    <t xml:space="preserve">         Shopping cart/credit card fees</t>
  </si>
  <si>
    <t xml:space="preserve">      Total Golf Tournament</t>
  </si>
  <si>
    <t xml:space="preserve">      School Supply Kits</t>
  </si>
  <si>
    <t xml:space="preserve">      Spring Fundraiser</t>
  </si>
  <si>
    <t xml:space="preserve">         Credit Card Processing Fees</t>
  </si>
  <si>
    <t xml:space="preserve">         Drinks</t>
  </si>
  <si>
    <t xml:space="preserve">         Facility costs</t>
  </si>
  <si>
    <t xml:space="preserve">         Live Auction</t>
  </si>
  <si>
    <t xml:space="preserve">         Marketing</t>
  </si>
  <si>
    <t xml:space="preserve">         Silent Auction</t>
  </si>
  <si>
    <t xml:space="preserve">      Total Spring Fundraiser</t>
  </si>
  <si>
    <t xml:space="preserve">   Total Fundraising Expense</t>
  </si>
  <si>
    <t xml:space="preserve">   Instructional Programs</t>
  </si>
  <si>
    <t xml:space="preserve">      IXL - Software Program</t>
  </si>
  <si>
    <t xml:space="preserve">   Total Instructional Programs</t>
  </si>
  <si>
    <t xml:space="preserve">   Literacy Enrichment</t>
  </si>
  <si>
    <t xml:space="preserve">      BrainPop</t>
  </si>
  <si>
    <t xml:space="preserve">      Levelled readers</t>
  </si>
  <si>
    <t xml:space="preserve">      Library Development</t>
  </si>
  <si>
    <t xml:space="preserve">      Razz Kids</t>
  </si>
  <si>
    <t xml:space="preserve">   Total Literacy Enrichment</t>
  </si>
  <si>
    <t xml:space="preserve">   Other Types of Expenses</t>
  </si>
  <si>
    <t xml:space="preserve">      Back to school breakfast</t>
  </si>
  <si>
    <t xml:space="preserve">   Total Other Types of Expenses</t>
  </si>
  <si>
    <t xml:space="preserve">   School Materials/Supplies</t>
  </si>
  <si>
    <t xml:space="preserve">      Classroom Expense Reimbursement</t>
  </si>
  <si>
    <t xml:space="preserve">      General fund school supplies</t>
  </si>
  <si>
    <t xml:space="preserve">      Physical Education Equipment Replenishment</t>
  </si>
  <si>
    <t xml:space="preserve">      Printer Toner/Learning Malls</t>
  </si>
  <si>
    <t xml:space="preserve">   Total School Materials/Supplies</t>
  </si>
  <si>
    <t xml:space="preserve">   Science, Tech, Eng and Math</t>
  </si>
  <si>
    <t xml:space="preserve">      Computer resource assistant</t>
  </si>
  <si>
    <t xml:space="preserve">      Excelling math impact teacher</t>
  </si>
  <si>
    <t xml:space="preserve">      Program Support</t>
  </si>
  <si>
    <t xml:space="preserve">      Science Instructor</t>
  </si>
  <si>
    <t xml:space="preserve">   Total Science, Tech, Eng and Math</t>
  </si>
  <si>
    <t xml:space="preserve">   Specialized Instruction</t>
  </si>
  <si>
    <t xml:space="preserve">      Counselor</t>
  </si>
  <si>
    <t xml:space="preserve">      Grade level impact teachers</t>
  </si>
  <si>
    <t xml:space="preserve">      Kindergarten instructional aide</t>
  </si>
  <si>
    <t xml:space="preserve">      Music Teacher</t>
  </si>
  <si>
    <t xml:space="preserve">      PE Instructor</t>
  </si>
  <si>
    <t xml:space="preserve">      Teacher Continuing Education</t>
  </si>
  <si>
    <t xml:space="preserve">   Total Specialized Instruction</t>
  </si>
  <si>
    <t>Total Expenses</t>
  </si>
  <si>
    <t>Willow Grove Educational Foundation</t>
  </si>
  <si>
    <t>July 2017 - June 2018</t>
  </si>
  <si>
    <t xml:space="preserve"> FY2018 Budget - FY18 P&amp;L </t>
  </si>
  <si>
    <t>Net Operating Income (Loss)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</si>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</sst>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€"/>
    <numFmt numFmtId="165" formatCode="&quot;$&quot;* #,##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topLeftCell="A108" workbookViewId="0">
      <selection activeCell="C140" sqref="C140"/>
    </sheetView>
  </sheetViews>
  <sheetFormatPr baseColWidth="10" defaultColWidth="8.83203125" defaultRowHeight="15" x14ac:dyDescent="0.2"/>
  <cols>
    <col min="1" max="1" width="42.1640625" customWidth="1"/>
    <col min="2" max="2" width="6" hidden="1" customWidth="1"/>
    <col min="3" max="3" width="19.83203125" customWidth="1"/>
    <col min="4" max="4" width="19.83203125" hidden="1" customWidth="1"/>
  </cols>
  <sheetData>
    <row r="1" spans="1:4" ht="18" x14ac:dyDescent="0.2">
      <c r="A1" s="12" t="s">
        <v>110</v>
      </c>
      <c r="B1" s="11"/>
      <c r="C1" s="11"/>
      <c r="D1" s="11"/>
    </row>
    <row r="2" spans="1:4" ht="18" x14ac:dyDescent="0.2">
      <c r="A2" s="12" t="s">
        <v>112</v>
      </c>
      <c r="B2" s="11"/>
      <c r="C2" s="11"/>
      <c r="D2" s="11"/>
    </row>
    <row r="3" spans="1:4" x14ac:dyDescent="0.2">
      <c r="A3" s="13" t="s">
        <v>111</v>
      </c>
      <c r="B3" s="11"/>
      <c r="C3" s="11"/>
      <c r="D3" s="11"/>
    </row>
    <row r="5" spans="1:4" x14ac:dyDescent="0.2">
      <c r="A5" s="1"/>
      <c r="B5" s="8" t="s">
        <v>0</v>
      </c>
      <c r="C5" s="9"/>
      <c r="D5" s="9"/>
    </row>
    <row r="6" spans="1:4" x14ac:dyDescent="0.2">
      <c r="A6" s="1"/>
      <c r="B6" s="2" t="s">
        <v>1</v>
      </c>
      <c r="C6" s="2" t="s">
        <v>2</v>
      </c>
      <c r="D6" s="2" t="s">
        <v>3</v>
      </c>
    </row>
    <row r="7" spans="1:4" x14ac:dyDescent="0.2">
      <c r="A7" s="3" t="s">
        <v>4</v>
      </c>
      <c r="B7" s="4"/>
      <c r="C7" s="4"/>
      <c r="D7" s="4"/>
    </row>
    <row r="8" spans="1:4" x14ac:dyDescent="0.2">
      <c r="A8" s="3" t="s">
        <v>5</v>
      </c>
      <c r="B8" s="4"/>
      <c r="C8" s="4"/>
      <c r="D8" s="5">
        <f t="shared" ref="D8:D39" si="0">(B8)-(C8)</f>
        <v>0</v>
      </c>
    </row>
    <row r="9" spans="1:4" x14ac:dyDescent="0.2">
      <c r="A9" s="3" t="s">
        <v>6</v>
      </c>
      <c r="B9" s="4"/>
      <c r="C9" s="5">
        <f>3500</f>
        <v>3500</v>
      </c>
      <c r="D9" s="5">
        <f t="shared" si="0"/>
        <v>-3500</v>
      </c>
    </row>
    <row r="10" spans="1:4" x14ac:dyDescent="0.2">
      <c r="A10" s="3" t="s">
        <v>7</v>
      </c>
      <c r="B10" s="6">
        <f>(B8)+(B9)</f>
        <v>0</v>
      </c>
      <c r="C10" s="6">
        <f>(C8)+(C9)</f>
        <v>3500</v>
      </c>
      <c r="D10" s="6">
        <f t="shared" si="0"/>
        <v>-3500</v>
      </c>
    </row>
    <row r="11" spans="1:4" x14ac:dyDescent="0.2">
      <c r="A11" s="3" t="s">
        <v>8</v>
      </c>
      <c r="B11" s="4"/>
      <c r="C11" s="5">
        <f>1200</f>
        <v>1200</v>
      </c>
      <c r="D11" s="5">
        <f t="shared" si="0"/>
        <v>-1200</v>
      </c>
    </row>
    <row r="12" spans="1:4" x14ac:dyDescent="0.2">
      <c r="A12" s="3" t="s">
        <v>9</v>
      </c>
      <c r="B12" s="4"/>
      <c r="C12" s="4"/>
      <c r="D12" s="5">
        <f t="shared" si="0"/>
        <v>0</v>
      </c>
    </row>
    <row r="13" spans="1:4" x14ac:dyDescent="0.2">
      <c r="A13" s="3" t="s">
        <v>10</v>
      </c>
      <c r="B13" s="5">
        <f>1920.38</f>
        <v>1920.38</v>
      </c>
      <c r="C13" s="5">
        <f>15000</f>
        <v>15000</v>
      </c>
      <c r="D13" s="5">
        <f t="shared" si="0"/>
        <v>-13079.619999999999</v>
      </c>
    </row>
    <row r="14" spans="1:4" x14ac:dyDescent="0.2">
      <c r="A14" s="3" t="s">
        <v>11</v>
      </c>
      <c r="B14" s="4"/>
      <c r="C14" s="5">
        <f>90000</f>
        <v>90000</v>
      </c>
      <c r="D14" s="5">
        <f t="shared" si="0"/>
        <v>-90000</v>
      </c>
    </row>
    <row r="15" spans="1:4" x14ac:dyDescent="0.2">
      <c r="A15" s="3" t="s">
        <v>12</v>
      </c>
      <c r="B15" s="6">
        <f>((B12)+(B13))+(B14)</f>
        <v>1920.38</v>
      </c>
      <c r="C15" s="6">
        <f>((C12)+(C13))+(C14)</f>
        <v>105000</v>
      </c>
      <c r="D15" s="6">
        <f t="shared" si="0"/>
        <v>-103079.62</v>
      </c>
    </row>
    <row r="16" spans="1:4" x14ac:dyDescent="0.2">
      <c r="A16" s="3" t="s">
        <v>13</v>
      </c>
      <c r="B16" s="4"/>
      <c r="C16" s="5">
        <f>17500</f>
        <v>17500</v>
      </c>
      <c r="D16" s="5">
        <f t="shared" si="0"/>
        <v>-17500</v>
      </c>
    </row>
    <row r="17" spans="1:4" x14ac:dyDescent="0.2">
      <c r="A17" s="3" t="s">
        <v>14</v>
      </c>
      <c r="B17" s="4"/>
      <c r="C17" s="4"/>
      <c r="D17" s="5">
        <f t="shared" si="0"/>
        <v>0</v>
      </c>
    </row>
    <row r="18" spans="1:4" x14ac:dyDescent="0.2">
      <c r="A18" s="3" t="s">
        <v>15</v>
      </c>
      <c r="B18" s="4"/>
      <c r="C18" s="5">
        <f>1500</f>
        <v>1500</v>
      </c>
      <c r="D18" s="5">
        <f t="shared" si="0"/>
        <v>-1500</v>
      </c>
    </row>
    <row r="19" spans="1:4" x14ac:dyDescent="0.2">
      <c r="A19" s="3" t="s">
        <v>16</v>
      </c>
      <c r="B19" s="4"/>
      <c r="C19" s="5">
        <f>25000</f>
        <v>25000</v>
      </c>
      <c r="D19" s="5">
        <f t="shared" si="0"/>
        <v>-25000</v>
      </c>
    </row>
    <row r="20" spans="1:4" x14ac:dyDescent="0.2">
      <c r="A20" s="3" t="s">
        <v>17</v>
      </c>
      <c r="B20" s="4"/>
      <c r="C20" s="5">
        <f>5500</f>
        <v>5500</v>
      </c>
      <c r="D20" s="5">
        <f t="shared" si="0"/>
        <v>-5500</v>
      </c>
    </row>
    <row r="21" spans="1:4" x14ac:dyDescent="0.2">
      <c r="A21" s="3" t="s">
        <v>18</v>
      </c>
      <c r="B21" s="4"/>
      <c r="C21" s="5">
        <f>5500</f>
        <v>5500</v>
      </c>
      <c r="D21" s="5">
        <f t="shared" si="0"/>
        <v>-5500</v>
      </c>
    </row>
    <row r="22" spans="1:4" x14ac:dyDescent="0.2">
      <c r="A22" s="3" t="s">
        <v>19</v>
      </c>
      <c r="B22" s="4"/>
      <c r="C22" s="5">
        <f>36500</f>
        <v>36500</v>
      </c>
      <c r="D22" s="5">
        <f t="shared" si="0"/>
        <v>-36500</v>
      </c>
    </row>
    <row r="23" spans="1:4" x14ac:dyDescent="0.2">
      <c r="A23" s="3" t="s">
        <v>20</v>
      </c>
      <c r="B23" s="4"/>
      <c r="C23" s="5">
        <f>10000</f>
        <v>10000</v>
      </c>
      <c r="D23" s="5">
        <f t="shared" si="0"/>
        <v>-10000</v>
      </c>
    </row>
    <row r="24" spans="1:4" x14ac:dyDescent="0.2">
      <c r="A24" s="3" t="s">
        <v>21</v>
      </c>
      <c r="B24" s="4"/>
      <c r="C24" s="5">
        <f>34000</f>
        <v>34000</v>
      </c>
      <c r="D24" s="5">
        <f t="shared" si="0"/>
        <v>-34000</v>
      </c>
    </row>
    <row r="25" spans="1:4" x14ac:dyDescent="0.2">
      <c r="A25" s="3" t="s">
        <v>22</v>
      </c>
      <c r="B25" s="6">
        <f>(((((((B17)+(B18))+(B19))+(B20))+(B21))+(B22))+(B23))+(B24)</f>
        <v>0</v>
      </c>
      <c r="C25" s="6">
        <f>(((((((C17)+(C18))+(C19))+(C20))+(C21))+(C22))+(C23))+(C24)</f>
        <v>118000</v>
      </c>
      <c r="D25" s="6">
        <f t="shared" si="0"/>
        <v>-118000</v>
      </c>
    </row>
    <row r="26" spans="1:4" x14ac:dyDescent="0.2">
      <c r="A26" s="3" t="s">
        <v>23</v>
      </c>
      <c r="B26" s="4"/>
      <c r="C26" s="4"/>
      <c r="D26" s="5">
        <f t="shared" si="0"/>
        <v>0</v>
      </c>
    </row>
    <row r="27" spans="1:4" x14ac:dyDescent="0.2">
      <c r="A27" s="3" t="s">
        <v>24</v>
      </c>
      <c r="B27" s="5">
        <f>0.68</f>
        <v>0.68</v>
      </c>
      <c r="C27" s="5">
        <f>6</f>
        <v>6</v>
      </c>
      <c r="D27" s="5">
        <f t="shared" si="0"/>
        <v>-5.32</v>
      </c>
    </row>
    <row r="28" spans="1:4" x14ac:dyDescent="0.2">
      <c r="A28" s="3" t="s">
        <v>25</v>
      </c>
      <c r="B28" s="6">
        <f>(B26)+(B27)</f>
        <v>0.68</v>
      </c>
      <c r="C28" s="6">
        <f>(C26)+(C27)</f>
        <v>6</v>
      </c>
      <c r="D28" s="6">
        <f t="shared" si="0"/>
        <v>-5.32</v>
      </c>
    </row>
    <row r="29" spans="1:4" x14ac:dyDescent="0.2">
      <c r="A29" s="3" t="s">
        <v>26</v>
      </c>
      <c r="B29" s="4"/>
      <c r="C29" s="5">
        <f>2000</f>
        <v>2000</v>
      </c>
      <c r="D29" s="5">
        <f t="shared" si="0"/>
        <v>-2000</v>
      </c>
    </row>
    <row r="30" spans="1:4" x14ac:dyDescent="0.2">
      <c r="A30" s="3" t="s">
        <v>27</v>
      </c>
      <c r="B30" s="4"/>
      <c r="C30" s="4"/>
      <c r="D30" s="5">
        <f t="shared" si="0"/>
        <v>0</v>
      </c>
    </row>
    <row r="31" spans="1:4" x14ac:dyDescent="0.2">
      <c r="A31" s="3" t="s">
        <v>28</v>
      </c>
      <c r="B31" s="4"/>
      <c r="C31" s="5">
        <f>3000</f>
        <v>3000</v>
      </c>
      <c r="D31" s="5">
        <f t="shared" si="0"/>
        <v>-3000</v>
      </c>
    </row>
    <row r="32" spans="1:4" x14ac:dyDescent="0.2">
      <c r="A32" s="3" t="s">
        <v>29</v>
      </c>
      <c r="B32" s="4"/>
      <c r="C32" s="5">
        <f>11000</f>
        <v>11000</v>
      </c>
      <c r="D32" s="5">
        <f t="shared" si="0"/>
        <v>-11000</v>
      </c>
    </row>
    <row r="33" spans="1:4" x14ac:dyDescent="0.2">
      <c r="A33" s="3" t="s">
        <v>30</v>
      </c>
      <c r="B33" s="4"/>
      <c r="C33" s="5">
        <f>500</f>
        <v>500</v>
      </c>
      <c r="D33" s="5">
        <f t="shared" si="0"/>
        <v>-500</v>
      </c>
    </row>
    <row r="34" spans="1:4" x14ac:dyDescent="0.2">
      <c r="A34" s="3" t="s">
        <v>31</v>
      </c>
      <c r="B34" s="4"/>
      <c r="C34" s="5">
        <f>2500</f>
        <v>2500</v>
      </c>
      <c r="D34" s="5">
        <f t="shared" si="0"/>
        <v>-2500</v>
      </c>
    </row>
    <row r="35" spans="1:4" x14ac:dyDescent="0.2">
      <c r="A35" s="3" t="s">
        <v>32</v>
      </c>
      <c r="B35" s="4"/>
      <c r="C35" s="5">
        <f>60000</f>
        <v>60000</v>
      </c>
      <c r="D35" s="5">
        <f t="shared" si="0"/>
        <v>-60000</v>
      </c>
    </row>
    <row r="36" spans="1:4" x14ac:dyDescent="0.2">
      <c r="A36" s="3" t="s">
        <v>21</v>
      </c>
      <c r="B36" s="4"/>
      <c r="C36" s="5">
        <f>8000</f>
        <v>8000</v>
      </c>
      <c r="D36" s="5">
        <f t="shared" si="0"/>
        <v>-8000</v>
      </c>
    </row>
    <row r="37" spans="1:4" x14ac:dyDescent="0.2">
      <c r="A37" s="3" t="s">
        <v>33</v>
      </c>
      <c r="B37" s="6">
        <f>((((((B30)+(B31))+(B32))+(B33))+(B34))+(B35))+(B36)</f>
        <v>0</v>
      </c>
      <c r="C37" s="6">
        <f>((((((C30)+(C31))+(C32))+(C33))+(C34))+(C35))+(C36)</f>
        <v>85000</v>
      </c>
      <c r="D37" s="6">
        <f t="shared" si="0"/>
        <v>-85000</v>
      </c>
    </row>
    <row r="38" spans="1:4" x14ac:dyDescent="0.2">
      <c r="A38" s="3" t="s">
        <v>34</v>
      </c>
      <c r="B38" s="6">
        <f>(((((((B10)+(B11))+(B15))+(B16))+(B25))+(B28))+(B29))+(B37)</f>
        <v>1921.0600000000002</v>
      </c>
      <c r="C38" s="6">
        <f>(((((((C10)+(C11))+(C15))+(C16))+(C25))+(C28))+(C29))+(C37)</f>
        <v>332206</v>
      </c>
      <c r="D38" s="6">
        <f t="shared" si="0"/>
        <v>-330284.94</v>
      </c>
    </row>
    <row r="39" spans="1:4" x14ac:dyDescent="0.2">
      <c r="A39" s="3" t="s">
        <v>35</v>
      </c>
      <c r="B39" s="6">
        <f>(B38)-(0)</f>
        <v>1921.0600000000002</v>
      </c>
      <c r="C39" s="6">
        <f>(C38)-(0)</f>
        <v>332206</v>
      </c>
      <c r="D39" s="6">
        <f t="shared" si="0"/>
        <v>-330284.94</v>
      </c>
    </row>
    <row r="40" spans="1:4" x14ac:dyDescent="0.2">
      <c r="A40" s="3" t="s">
        <v>36</v>
      </c>
      <c r="B40" s="4"/>
      <c r="C40" s="4"/>
      <c r="D40" s="4"/>
    </row>
    <row r="41" spans="1:4" x14ac:dyDescent="0.2">
      <c r="A41" s="3" t="s">
        <v>37</v>
      </c>
      <c r="B41" s="4"/>
      <c r="C41" s="4"/>
      <c r="D41" s="5">
        <f t="shared" ref="D41:D72" si="1">(B41)-(C41)</f>
        <v>0</v>
      </c>
    </row>
    <row r="42" spans="1:4" x14ac:dyDescent="0.2">
      <c r="A42" s="3" t="s">
        <v>38</v>
      </c>
      <c r="B42" s="5">
        <f>89.95</f>
        <v>89.95</v>
      </c>
      <c r="C42" s="5">
        <f>590</f>
        <v>590</v>
      </c>
      <c r="D42" s="5">
        <f t="shared" si="1"/>
        <v>-500.05</v>
      </c>
    </row>
    <row r="43" spans="1:4" x14ac:dyDescent="0.2">
      <c r="A43" s="3" t="s">
        <v>39</v>
      </c>
      <c r="B43" s="4"/>
      <c r="C43" s="5">
        <f>70</f>
        <v>70</v>
      </c>
      <c r="D43" s="5">
        <f t="shared" si="1"/>
        <v>-70</v>
      </c>
    </row>
    <row r="44" spans="1:4" x14ac:dyDescent="0.2">
      <c r="A44" s="3" t="s">
        <v>40</v>
      </c>
      <c r="B44" s="4"/>
      <c r="C44" s="5">
        <f>750</f>
        <v>750</v>
      </c>
      <c r="D44" s="5">
        <f t="shared" si="1"/>
        <v>-750</v>
      </c>
    </row>
    <row r="45" spans="1:4" x14ac:dyDescent="0.2">
      <c r="A45" s="3" t="s">
        <v>41</v>
      </c>
      <c r="B45" s="4"/>
      <c r="C45" s="5">
        <f>750</f>
        <v>750</v>
      </c>
      <c r="D45" s="5">
        <f t="shared" si="1"/>
        <v>-750</v>
      </c>
    </row>
    <row r="46" spans="1:4" x14ac:dyDescent="0.2">
      <c r="A46" s="3" t="s">
        <v>42</v>
      </c>
      <c r="B46" s="4"/>
      <c r="C46" s="5">
        <f>20</f>
        <v>20</v>
      </c>
      <c r="D46" s="5">
        <f t="shared" si="1"/>
        <v>-20</v>
      </c>
    </row>
    <row r="47" spans="1:4" x14ac:dyDescent="0.2">
      <c r="A47" s="3" t="s">
        <v>43</v>
      </c>
      <c r="B47" s="4"/>
      <c r="C47" s="5">
        <f>50</f>
        <v>50</v>
      </c>
      <c r="D47" s="5">
        <f t="shared" si="1"/>
        <v>-50</v>
      </c>
    </row>
    <row r="48" spans="1:4" x14ac:dyDescent="0.2">
      <c r="A48" s="3" t="s">
        <v>44</v>
      </c>
      <c r="B48" s="4"/>
      <c r="C48" s="5">
        <f>400</f>
        <v>400</v>
      </c>
      <c r="D48" s="5">
        <f t="shared" si="1"/>
        <v>-400</v>
      </c>
    </row>
    <row r="49" spans="1:4" x14ac:dyDescent="0.2">
      <c r="A49" s="3" t="s">
        <v>45</v>
      </c>
      <c r="B49" s="4"/>
      <c r="C49" s="5">
        <f>1400</f>
        <v>1400</v>
      </c>
      <c r="D49" s="5">
        <f t="shared" si="1"/>
        <v>-1400</v>
      </c>
    </row>
    <row r="50" spans="1:4" x14ac:dyDescent="0.2">
      <c r="A50" s="3" t="s">
        <v>46</v>
      </c>
      <c r="B50" s="4"/>
      <c r="C50" s="5">
        <f>550</f>
        <v>550</v>
      </c>
      <c r="D50" s="5">
        <f t="shared" si="1"/>
        <v>-550</v>
      </c>
    </row>
    <row r="51" spans="1:4" x14ac:dyDescent="0.2">
      <c r="A51" s="3" t="s">
        <v>47</v>
      </c>
      <c r="B51" s="6">
        <f>(((((((((B41)+(B42))+(B43))+(B44))+(B45))+(B46))+(B47))+(B48))+(B49))+(B50)</f>
        <v>89.95</v>
      </c>
      <c r="C51" s="6">
        <f>(((((((((C41)+(C42))+(C43))+(C44))+(C45))+(C46))+(C47))+(C48))+(C49))+(C50)</f>
        <v>4580</v>
      </c>
      <c r="D51" s="6">
        <f t="shared" si="1"/>
        <v>-4490.05</v>
      </c>
    </row>
    <row r="52" spans="1:4" x14ac:dyDescent="0.2">
      <c r="A52" s="3" t="s">
        <v>48</v>
      </c>
      <c r="B52" s="5">
        <f>270</f>
        <v>270</v>
      </c>
      <c r="C52" s="5">
        <f>3000</f>
        <v>3000</v>
      </c>
      <c r="D52" s="5">
        <f t="shared" si="1"/>
        <v>-2730</v>
      </c>
    </row>
    <row r="53" spans="1:4" x14ac:dyDescent="0.2">
      <c r="A53" s="3" t="s">
        <v>49</v>
      </c>
      <c r="B53" s="4"/>
      <c r="C53" s="4"/>
      <c r="D53" s="5">
        <f t="shared" si="1"/>
        <v>0</v>
      </c>
    </row>
    <row r="54" spans="1:4" x14ac:dyDescent="0.2">
      <c r="A54" s="3" t="s">
        <v>50</v>
      </c>
      <c r="B54" s="4"/>
      <c r="C54" s="4"/>
      <c r="D54" s="5">
        <f t="shared" si="1"/>
        <v>0</v>
      </c>
    </row>
    <row r="55" spans="1:4" x14ac:dyDescent="0.2">
      <c r="A55" s="3" t="s">
        <v>51</v>
      </c>
      <c r="B55" s="5">
        <f>249.01</f>
        <v>249.01</v>
      </c>
      <c r="C55" s="5">
        <f>2300</f>
        <v>2300</v>
      </c>
      <c r="D55" s="5">
        <f t="shared" si="1"/>
        <v>-2050.9899999999998</v>
      </c>
    </row>
    <row r="56" spans="1:4" x14ac:dyDescent="0.2">
      <c r="A56" s="3" t="s">
        <v>52</v>
      </c>
      <c r="B56" s="4"/>
      <c r="C56" s="5">
        <f>1100</f>
        <v>1100</v>
      </c>
      <c r="D56" s="5">
        <f t="shared" si="1"/>
        <v>-1100</v>
      </c>
    </row>
    <row r="57" spans="1:4" x14ac:dyDescent="0.2">
      <c r="A57" s="3" t="s">
        <v>53</v>
      </c>
      <c r="B57" s="6">
        <f>((B54)+(B55))+(B56)</f>
        <v>249.01</v>
      </c>
      <c r="C57" s="6">
        <f>((C54)+(C55))+(C56)</f>
        <v>3400</v>
      </c>
      <c r="D57" s="6">
        <f t="shared" si="1"/>
        <v>-3150.99</v>
      </c>
    </row>
    <row r="58" spans="1:4" x14ac:dyDescent="0.2">
      <c r="A58" s="3" t="s">
        <v>54</v>
      </c>
      <c r="B58" s="4"/>
      <c r="C58" s="4"/>
      <c r="D58" s="5">
        <f t="shared" si="1"/>
        <v>0</v>
      </c>
    </row>
    <row r="59" spans="1:4" x14ac:dyDescent="0.2">
      <c r="A59" s="3" t="s">
        <v>55</v>
      </c>
      <c r="B59" s="4"/>
      <c r="C59" s="5">
        <f>875</f>
        <v>875</v>
      </c>
      <c r="D59" s="5">
        <f t="shared" si="1"/>
        <v>-875</v>
      </c>
    </row>
    <row r="60" spans="1:4" x14ac:dyDescent="0.2">
      <c r="A60" s="3" t="s">
        <v>56</v>
      </c>
      <c r="B60" s="4"/>
      <c r="C60" s="5">
        <f>3000</f>
        <v>3000</v>
      </c>
      <c r="D60" s="5">
        <f t="shared" si="1"/>
        <v>-3000</v>
      </c>
    </row>
    <row r="61" spans="1:4" x14ac:dyDescent="0.2">
      <c r="A61" s="3" t="s">
        <v>57</v>
      </c>
      <c r="B61" s="4"/>
      <c r="C61" s="5">
        <f>36500</f>
        <v>36500</v>
      </c>
      <c r="D61" s="5">
        <f t="shared" si="1"/>
        <v>-36500</v>
      </c>
    </row>
    <row r="62" spans="1:4" x14ac:dyDescent="0.2">
      <c r="A62" s="3" t="s">
        <v>58</v>
      </c>
      <c r="B62" s="4"/>
      <c r="C62" s="5">
        <f>350</f>
        <v>350</v>
      </c>
      <c r="D62" s="5">
        <f t="shared" si="1"/>
        <v>-350</v>
      </c>
    </row>
    <row r="63" spans="1:4" x14ac:dyDescent="0.2">
      <c r="A63" s="3" t="s">
        <v>59</v>
      </c>
      <c r="B63" s="4"/>
      <c r="C63" s="5">
        <f>375</f>
        <v>375</v>
      </c>
      <c r="D63" s="5">
        <f t="shared" si="1"/>
        <v>-375</v>
      </c>
    </row>
    <row r="64" spans="1:4" x14ac:dyDescent="0.2">
      <c r="A64" s="3" t="s">
        <v>60</v>
      </c>
      <c r="B64" s="4"/>
      <c r="C64" s="5">
        <f>250</f>
        <v>250</v>
      </c>
      <c r="D64" s="5">
        <f t="shared" si="1"/>
        <v>-250</v>
      </c>
    </row>
    <row r="65" spans="1:4" x14ac:dyDescent="0.2">
      <c r="A65" s="3" t="s">
        <v>61</v>
      </c>
      <c r="B65" s="4"/>
      <c r="C65" s="5">
        <f>50</f>
        <v>50</v>
      </c>
      <c r="D65" s="5">
        <f t="shared" si="1"/>
        <v>-50</v>
      </c>
    </row>
    <row r="66" spans="1:4" x14ac:dyDescent="0.2">
      <c r="A66" s="3" t="s">
        <v>62</v>
      </c>
      <c r="B66" s="4"/>
      <c r="C66" s="5">
        <f>3000</f>
        <v>3000</v>
      </c>
      <c r="D66" s="5">
        <f t="shared" si="1"/>
        <v>-3000</v>
      </c>
    </row>
    <row r="67" spans="1:4" x14ac:dyDescent="0.2">
      <c r="A67" s="3" t="s">
        <v>63</v>
      </c>
      <c r="B67" s="4"/>
      <c r="C67" s="5">
        <f>4500</f>
        <v>4500</v>
      </c>
      <c r="D67" s="5">
        <f t="shared" si="1"/>
        <v>-4500</v>
      </c>
    </row>
    <row r="68" spans="1:4" x14ac:dyDescent="0.2">
      <c r="A68" s="3" t="s">
        <v>64</v>
      </c>
      <c r="B68" s="4"/>
      <c r="C68" s="5">
        <f>500</f>
        <v>500</v>
      </c>
      <c r="D68" s="5">
        <f t="shared" si="1"/>
        <v>-500</v>
      </c>
    </row>
    <row r="69" spans="1:4" x14ac:dyDescent="0.2">
      <c r="A69" s="3" t="s">
        <v>65</v>
      </c>
      <c r="B69" s="4"/>
      <c r="C69" s="5">
        <f>3600</f>
        <v>3600</v>
      </c>
      <c r="D69" s="5">
        <f t="shared" si="1"/>
        <v>-3600</v>
      </c>
    </row>
    <row r="70" spans="1:4" x14ac:dyDescent="0.2">
      <c r="A70" s="3" t="s">
        <v>66</v>
      </c>
      <c r="B70" s="6">
        <f>(((((((((((B58)+(B59))+(B60))+(B61))+(B62))+(B63))+(B64))+(B65))+(B66))+(B67))+(B68))+(B69)</f>
        <v>0</v>
      </c>
      <c r="C70" s="6">
        <f>(((((((((((C58)+(C59))+(C60))+(C61))+(C62))+(C63))+(C64))+(C65))+(C66))+(C67))+(C68))+(C69)</f>
        <v>53000</v>
      </c>
      <c r="D70" s="6">
        <f t="shared" si="1"/>
        <v>-53000</v>
      </c>
    </row>
    <row r="71" spans="1:4" x14ac:dyDescent="0.2">
      <c r="A71" s="3" t="s">
        <v>67</v>
      </c>
      <c r="B71" s="4"/>
      <c r="C71" s="5">
        <f>50</f>
        <v>50</v>
      </c>
      <c r="D71" s="5">
        <f t="shared" si="1"/>
        <v>-50</v>
      </c>
    </row>
    <row r="72" spans="1:4" x14ac:dyDescent="0.2">
      <c r="A72" s="3" t="s">
        <v>68</v>
      </c>
      <c r="B72" s="4"/>
      <c r="C72" s="4"/>
      <c r="D72" s="5">
        <f t="shared" si="1"/>
        <v>0</v>
      </c>
    </row>
    <row r="73" spans="1:4" x14ac:dyDescent="0.2">
      <c r="A73" s="3" t="s">
        <v>69</v>
      </c>
      <c r="B73" s="4"/>
      <c r="C73" s="5">
        <f>3600</f>
        <v>3600</v>
      </c>
      <c r="D73" s="5">
        <f t="shared" ref="D73:D104" si="2">(B73)-(C73)</f>
        <v>-3600</v>
      </c>
    </row>
    <row r="74" spans="1:4" x14ac:dyDescent="0.2">
      <c r="A74" s="3" t="s">
        <v>70</v>
      </c>
      <c r="B74" s="4"/>
      <c r="C74" s="5">
        <f>3000</f>
        <v>3000</v>
      </c>
      <c r="D74" s="5">
        <f t="shared" si="2"/>
        <v>-3000</v>
      </c>
    </row>
    <row r="75" spans="1:4" x14ac:dyDescent="0.2">
      <c r="A75" s="3" t="s">
        <v>58</v>
      </c>
      <c r="B75" s="4"/>
      <c r="C75" s="5">
        <f>1100</f>
        <v>1100</v>
      </c>
      <c r="D75" s="5">
        <f t="shared" si="2"/>
        <v>-1100</v>
      </c>
    </row>
    <row r="76" spans="1:4" x14ac:dyDescent="0.2">
      <c r="A76" s="3" t="s">
        <v>71</v>
      </c>
      <c r="B76" s="5">
        <f>10</f>
        <v>10</v>
      </c>
      <c r="C76" s="5">
        <f>11000</f>
        <v>11000</v>
      </c>
      <c r="D76" s="5">
        <f t="shared" si="2"/>
        <v>-10990</v>
      </c>
    </row>
    <row r="77" spans="1:4" x14ac:dyDescent="0.2">
      <c r="A77" s="3" t="s">
        <v>60</v>
      </c>
      <c r="B77" s="4"/>
      <c r="C77" s="5">
        <f>4000</f>
        <v>4000</v>
      </c>
      <c r="D77" s="5">
        <f t="shared" si="2"/>
        <v>-4000</v>
      </c>
    </row>
    <row r="78" spans="1:4" x14ac:dyDescent="0.2">
      <c r="A78" s="3" t="s">
        <v>62</v>
      </c>
      <c r="B78" s="4"/>
      <c r="C78" s="5">
        <f>300</f>
        <v>300</v>
      </c>
      <c r="D78" s="5">
        <f t="shared" si="2"/>
        <v>-300</v>
      </c>
    </row>
    <row r="79" spans="1:4" x14ac:dyDescent="0.2">
      <c r="A79" s="3" t="s">
        <v>72</v>
      </c>
      <c r="B79" s="5">
        <f>57.9</f>
        <v>57.9</v>
      </c>
      <c r="C79" s="5">
        <f>800</f>
        <v>800</v>
      </c>
      <c r="D79" s="5">
        <f t="shared" si="2"/>
        <v>-742.1</v>
      </c>
    </row>
    <row r="80" spans="1:4" x14ac:dyDescent="0.2">
      <c r="A80" s="3" t="s">
        <v>73</v>
      </c>
      <c r="B80" s="4"/>
      <c r="C80" s="5">
        <f>1200</f>
        <v>1200</v>
      </c>
      <c r="D80" s="5">
        <f t="shared" si="2"/>
        <v>-1200</v>
      </c>
    </row>
    <row r="81" spans="1:4" x14ac:dyDescent="0.2">
      <c r="A81" s="3" t="s">
        <v>74</v>
      </c>
      <c r="B81" s="4"/>
      <c r="C81" s="5">
        <f>1400</f>
        <v>1400</v>
      </c>
      <c r="D81" s="5">
        <f t="shared" si="2"/>
        <v>-1400</v>
      </c>
    </row>
    <row r="82" spans="1:4" x14ac:dyDescent="0.2">
      <c r="A82" s="3" t="s">
        <v>75</v>
      </c>
      <c r="B82" s="6">
        <f>(((((((((B72)+(B73))+(B74))+(B75))+(B76))+(B77))+(B78))+(B79))+(B80))+(B81)</f>
        <v>67.900000000000006</v>
      </c>
      <c r="C82" s="6">
        <f>(((((((((C72)+(C73))+(C74))+(C75))+(C76))+(C77))+(C78))+(C79))+(C80))+(C81)</f>
        <v>26400</v>
      </c>
      <c r="D82" s="6">
        <f t="shared" si="2"/>
        <v>-26332.1</v>
      </c>
    </row>
    <row r="83" spans="1:4" x14ac:dyDescent="0.2">
      <c r="A83" s="3" t="s">
        <v>76</v>
      </c>
      <c r="B83" s="6">
        <f>((((B53)+(B57))+(B70))+(B71))+(B82)</f>
        <v>316.90999999999997</v>
      </c>
      <c r="C83" s="6">
        <f>((((C53)+(C57))+(C70))+(C71))+(C82)</f>
        <v>82850</v>
      </c>
      <c r="D83" s="6">
        <f t="shared" si="2"/>
        <v>-82533.09</v>
      </c>
    </row>
    <row r="84" spans="1:4" x14ac:dyDescent="0.2">
      <c r="A84" s="3" t="s">
        <v>77</v>
      </c>
      <c r="B84" s="4"/>
      <c r="C84" s="4"/>
      <c r="D84" s="5">
        <f t="shared" si="2"/>
        <v>0</v>
      </c>
    </row>
    <row r="85" spans="1:4" x14ac:dyDescent="0.2">
      <c r="A85" s="3" t="s">
        <v>78</v>
      </c>
      <c r="B85" s="4"/>
      <c r="C85" s="5">
        <f>8300</f>
        <v>8300</v>
      </c>
      <c r="D85" s="5">
        <f t="shared" si="2"/>
        <v>-8300</v>
      </c>
    </row>
    <row r="86" spans="1:4" x14ac:dyDescent="0.2">
      <c r="A86" s="3" t="s">
        <v>79</v>
      </c>
      <c r="B86" s="6">
        <f>(B84)+(B85)</f>
        <v>0</v>
      </c>
      <c r="C86" s="6">
        <f>(C84)+(C85)</f>
        <v>8300</v>
      </c>
      <c r="D86" s="6">
        <f t="shared" si="2"/>
        <v>-8300</v>
      </c>
    </row>
    <row r="87" spans="1:4" x14ac:dyDescent="0.2">
      <c r="A87" s="3" t="s">
        <v>80</v>
      </c>
      <c r="B87" s="4"/>
      <c r="C87" s="4"/>
      <c r="D87" s="5">
        <f t="shared" si="2"/>
        <v>0</v>
      </c>
    </row>
    <row r="88" spans="1:4" x14ac:dyDescent="0.2">
      <c r="A88" s="3" t="s">
        <v>81</v>
      </c>
      <c r="B88" s="4"/>
      <c r="C88" s="5">
        <f>2300</f>
        <v>2300</v>
      </c>
      <c r="D88" s="5">
        <f t="shared" si="2"/>
        <v>-2300</v>
      </c>
    </row>
    <row r="89" spans="1:4" x14ac:dyDescent="0.2">
      <c r="A89" s="3" t="s">
        <v>82</v>
      </c>
      <c r="B89" s="4"/>
      <c r="C89" s="5">
        <f>2500</f>
        <v>2500</v>
      </c>
      <c r="D89" s="5">
        <f t="shared" si="2"/>
        <v>-2500</v>
      </c>
    </row>
    <row r="90" spans="1:4" x14ac:dyDescent="0.2">
      <c r="A90" s="3" t="s">
        <v>83</v>
      </c>
      <c r="B90" s="4"/>
      <c r="C90" s="5">
        <f>1000</f>
        <v>1000</v>
      </c>
      <c r="D90" s="5">
        <f t="shared" si="2"/>
        <v>-1000</v>
      </c>
    </row>
    <row r="91" spans="1:4" x14ac:dyDescent="0.2">
      <c r="A91" s="3" t="s">
        <v>84</v>
      </c>
      <c r="B91" s="4"/>
      <c r="C91" s="5">
        <f>1400</f>
        <v>1400</v>
      </c>
      <c r="D91" s="5">
        <f t="shared" si="2"/>
        <v>-1400</v>
      </c>
    </row>
    <row r="92" spans="1:4" x14ac:dyDescent="0.2">
      <c r="A92" s="3" t="s">
        <v>85</v>
      </c>
      <c r="B92" s="6">
        <f>((((B87)+(B88))+(B89))+(B90))+(B91)</f>
        <v>0</v>
      </c>
      <c r="C92" s="6">
        <f>((((C87)+(C88))+(C89))+(C90))+(C91)</f>
        <v>7200</v>
      </c>
      <c r="D92" s="6">
        <f t="shared" si="2"/>
        <v>-7200</v>
      </c>
    </row>
    <row r="93" spans="1:4" x14ac:dyDescent="0.2">
      <c r="A93" s="3" t="s">
        <v>86</v>
      </c>
      <c r="B93" s="4"/>
      <c r="C93" s="4"/>
      <c r="D93" s="5">
        <f t="shared" si="2"/>
        <v>0</v>
      </c>
    </row>
    <row r="94" spans="1:4" x14ac:dyDescent="0.2">
      <c r="A94" s="3" t="s">
        <v>87</v>
      </c>
      <c r="B94" s="4"/>
      <c r="C94" s="5">
        <f>300</f>
        <v>300</v>
      </c>
      <c r="D94" s="5">
        <f t="shared" si="2"/>
        <v>-300</v>
      </c>
    </row>
    <row r="95" spans="1:4" x14ac:dyDescent="0.2">
      <c r="A95" s="3" t="s">
        <v>88</v>
      </c>
      <c r="B95" s="6">
        <f>(B93)+(B94)</f>
        <v>0</v>
      </c>
      <c r="C95" s="6">
        <f>(C93)+(C94)</f>
        <v>300</v>
      </c>
      <c r="D95" s="6">
        <f t="shared" si="2"/>
        <v>-300</v>
      </c>
    </row>
    <row r="96" spans="1:4" x14ac:dyDescent="0.2">
      <c r="A96" s="3" t="s">
        <v>89</v>
      </c>
      <c r="B96" s="4"/>
      <c r="C96" s="4"/>
      <c r="D96" s="5">
        <f t="shared" si="2"/>
        <v>0</v>
      </c>
    </row>
    <row r="97" spans="1:4" x14ac:dyDescent="0.2">
      <c r="A97" s="3" t="s">
        <v>90</v>
      </c>
      <c r="B97" s="4"/>
      <c r="C97" s="5">
        <f>7200</f>
        <v>7200</v>
      </c>
      <c r="D97" s="5">
        <f t="shared" si="2"/>
        <v>-7200</v>
      </c>
    </row>
    <row r="98" spans="1:4" x14ac:dyDescent="0.2">
      <c r="A98" s="3" t="s">
        <v>91</v>
      </c>
      <c r="B98" s="4"/>
      <c r="C98" s="5">
        <f>2000</f>
        <v>2000</v>
      </c>
      <c r="D98" s="5">
        <f t="shared" si="2"/>
        <v>-2000</v>
      </c>
    </row>
    <row r="99" spans="1:4" x14ac:dyDescent="0.2">
      <c r="A99" s="3" t="s">
        <v>92</v>
      </c>
      <c r="B99" s="4"/>
      <c r="C99" s="5">
        <f>1000</f>
        <v>1000</v>
      </c>
      <c r="D99" s="5">
        <f t="shared" si="2"/>
        <v>-1000</v>
      </c>
    </row>
    <row r="100" spans="1:4" x14ac:dyDescent="0.2">
      <c r="A100" s="3" t="s">
        <v>93</v>
      </c>
      <c r="B100" s="4"/>
      <c r="C100" s="5">
        <f>1000</f>
        <v>1000</v>
      </c>
      <c r="D100" s="5">
        <f t="shared" si="2"/>
        <v>-1000</v>
      </c>
    </row>
    <row r="101" spans="1:4" x14ac:dyDescent="0.2">
      <c r="A101" s="3" t="s">
        <v>94</v>
      </c>
      <c r="B101" s="6">
        <f>((((B96)+(B97))+(B98))+(B99))+(B100)</f>
        <v>0</v>
      </c>
      <c r="C101" s="6">
        <f>((((C96)+(C97))+(C98))+(C99))+(C100)</f>
        <v>11200</v>
      </c>
      <c r="D101" s="6">
        <f t="shared" si="2"/>
        <v>-11200</v>
      </c>
    </row>
    <row r="102" spans="1:4" x14ac:dyDescent="0.2">
      <c r="A102" s="3" t="s">
        <v>95</v>
      </c>
      <c r="B102" s="4"/>
      <c r="C102" s="4"/>
      <c r="D102" s="5">
        <f t="shared" si="2"/>
        <v>0</v>
      </c>
    </row>
    <row r="103" spans="1:4" x14ac:dyDescent="0.2">
      <c r="A103" s="3" t="s">
        <v>96</v>
      </c>
      <c r="B103" s="4"/>
      <c r="C103" s="5">
        <f>16815</f>
        <v>16815</v>
      </c>
      <c r="D103" s="5">
        <f t="shared" si="2"/>
        <v>-16815</v>
      </c>
    </row>
    <row r="104" spans="1:4" x14ac:dyDescent="0.2">
      <c r="A104" s="3" t="s">
        <v>97</v>
      </c>
      <c r="B104" s="4"/>
      <c r="C104" s="5">
        <f>15065</f>
        <v>15065</v>
      </c>
      <c r="D104" s="5">
        <f t="shared" si="2"/>
        <v>-15065</v>
      </c>
    </row>
    <row r="105" spans="1:4" x14ac:dyDescent="0.2">
      <c r="A105" s="3" t="s">
        <v>98</v>
      </c>
      <c r="B105" s="4"/>
      <c r="C105" s="5">
        <f>3000</f>
        <v>3000</v>
      </c>
      <c r="D105" s="5">
        <f t="shared" ref="D105:D118" si="3">(B105)-(C105)</f>
        <v>-3000</v>
      </c>
    </row>
    <row r="106" spans="1:4" x14ac:dyDescent="0.2">
      <c r="A106" s="3" t="s">
        <v>99</v>
      </c>
      <c r="B106" s="4"/>
      <c r="C106" s="5">
        <f>22250</f>
        <v>22250</v>
      </c>
      <c r="D106" s="5">
        <f t="shared" si="3"/>
        <v>-22250</v>
      </c>
    </row>
    <row r="107" spans="1:4" x14ac:dyDescent="0.2">
      <c r="A107" s="3" t="s">
        <v>100</v>
      </c>
      <c r="B107" s="6">
        <f>((((B102)+(B103))+(B104))+(B105))+(B106)</f>
        <v>0</v>
      </c>
      <c r="C107" s="6">
        <f>((((C102)+(C103))+(C104))+(C105))+(C106)</f>
        <v>57130</v>
      </c>
      <c r="D107" s="6">
        <f t="shared" si="3"/>
        <v>-57130</v>
      </c>
    </row>
    <row r="108" spans="1:4" x14ac:dyDescent="0.2">
      <c r="A108" s="3" t="s">
        <v>101</v>
      </c>
      <c r="B108" s="4"/>
      <c r="C108" s="4"/>
      <c r="D108" s="5">
        <f t="shared" si="3"/>
        <v>0</v>
      </c>
    </row>
    <row r="109" spans="1:4" x14ac:dyDescent="0.2">
      <c r="A109" s="3" t="s">
        <v>102</v>
      </c>
      <c r="B109" s="4"/>
      <c r="C109" s="5">
        <f>14400</f>
        <v>14400</v>
      </c>
      <c r="D109" s="5">
        <f t="shared" si="3"/>
        <v>-14400</v>
      </c>
    </row>
    <row r="110" spans="1:4" x14ac:dyDescent="0.2">
      <c r="A110" s="3" t="s">
        <v>103</v>
      </c>
      <c r="B110" s="4"/>
      <c r="C110" s="5">
        <f>80035</f>
        <v>80035</v>
      </c>
      <c r="D110" s="5">
        <f t="shared" si="3"/>
        <v>-80035</v>
      </c>
    </row>
    <row r="111" spans="1:4" x14ac:dyDescent="0.2">
      <c r="A111" s="3" t="s">
        <v>104</v>
      </c>
      <c r="B111" s="4"/>
      <c r="C111" s="5">
        <f>32163</f>
        <v>32163</v>
      </c>
      <c r="D111" s="5">
        <f t="shared" si="3"/>
        <v>-32163</v>
      </c>
    </row>
    <row r="112" spans="1:4" x14ac:dyDescent="0.2">
      <c r="A112" s="3" t="s">
        <v>105</v>
      </c>
      <c r="B112" s="4"/>
      <c r="C112" s="5">
        <f>14000</f>
        <v>14000</v>
      </c>
      <c r="D112" s="5">
        <f t="shared" si="3"/>
        <v>-14000</v>
      </c>
    </row>
    <row r="113" spans="1:4" x14ac:dyDescent="0.2">
      <c r="A113" s="3" t="s">
        <v>106</v>
      </c>
      <c r="B113" s="4"/>
      <c r="C113" s="5">
        <f>16007</f>
        <v>16007</v>
      </c>
      <c r="D113" s="5">
        <f t="shared" si="3"/>
        <v>-16007</v>
      </c>
    </row>
    <row r="114" spans="1:4" x14ac:dyDescent="0.2">
      <c r="A114" s="3" t="s">
        <v>107</v>
      </c>
      <c r="B114" s="4"/>
      <c r="C114" s="5">
        <f>2000</f>
        <v>2000</v>
      </c>
      <c r="D114" s="5">
        <f t="shared" si="3"/>
        <v>-2000</v>
      </c>
    </row>
    <row r="115" spans="1:4" x14ac:dyDescent="0.2">
      <c r="A115" s="3" t="s">
        <v>108</v>
      </c>
      <c r="B115" s="6">
        <f>((((((B108)+(B109))+(B110))+(B111))+(B112))+(B113))+(B114)</f>
        <v>0</v>
      </c>
      <c r="C115" s="6">
        <f>((((((C108)+(C109))+(C110))+(C111))+(C112))+(C113))+(C114)</f>
        <v>158605</v>
      </c>
      <c r="D115" s="6">
        <f t="shared" si="3"/>
        <v>-158605</v>
      </c>
    </row>
    <row r="116" spans="1:4" x14ac:dyDescent="0.2">
      <c r="A116" s="3" t="s">
        <v>109</v>
      </c>
      <c r="B116" s="6">
        <f>((((((((B51)+(B52))+(B83))+(B86))+(B92))+(B95))+(B101))+(B107))+(B115)</f>
        <v>676.8599999999999</v>
      </c>
      <c r="C116" s="6">
        <f>((((((((C51)+(C52))+(C83))+(C86))+(C92))+(C95))+(C101))+(C107))+(C115)</f>
        <v>333165</v>
      </c>
      <c r="D116" s="6">
        <f t="shared" si="3"/>
        <v>-332488.14</v>
      </c>
    </row>
    <row r="117" spans="1:4" x14ac:dyDescent="0.2">
      <c r="A117" s="3" t="s">
        <v>113</v>
      </c>
      <c r="B117" s="6">
        <f>(B39)-(B116)</f>
        <v>1244.2000000000003</v>
      </c>
      <c r="C117" s="6">
        <f>(C39)-(C116)</f>
        <v>-959</v>
      </c>
      <c r="D117" s="6">
        <f t="shared" si="3"/>
        <v>2203.2000000000003</v>
      </c>
    </row>
    <row r="118" spans="1:4" x14ac:dyDescent="0.2">
      <c r="A118" s="3" t="s">
        <v>114</v>
      </c>
      <c r="B118" s="7">
        <f>(B117)+(0)</f>
        <v>1244.2000000000003</v>
      </c>
      <c r="C118" s="7">
        <f>(C117)+(0)</f>
        <v>-959</v>
      </c>
      <c r="D118" s="7">
        <f t="shared" si="3"/>
        <v>2203.2000000000003</v>
      </c>
    </row>
    <row r="119" spans="1:4" x14ac:dyDescent="0.2">
      <c r="A119" s="3"/>
      <c r="B119" s="4"/>
      <c r="C119" s="4"/>
      <c r="D119" s="4"/>
    </row>
    <row r="122" spans="1:4" x14ac:dyDescent="0.2">
      <c r="A122" s="10"/>
      <c r="B122" s="11"/>
      <c r="C122" s="11"/>
      <c r="D122" s="11"/>
    </row>
  </sheetData>
  <mergeCells count="5">
    <mergeCell ref="B5:D5"/>
    <mergeCell ref="A122:D122"/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18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2017-08-24T05:31:09Z</dcterms:created>
  <dcterms:modified xsi:type="dcterms:W3CDTF">2017-08-25T19:06:33Z</dcterms:modified>
</cp:coreProperties>
</file>