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Grant/Desktop/"/>
    </mc:Choice>
  </mc:AlternateContent>
  <xr:revisionPtr revIDLastSave="0" documentId="13_ncr:1_{EB38F803-6D12-2E47-B99B-F14ACF7ECFAA}" xr6:coauthVersionLast="47" xr6:coauthVersionMax="47" xr10:uidLastSave="{00000000-0000-0000-0000-000000000000}"/>
  <bookViews>
    <workbookView xWindow="0" yWindow="480" windowWidth="28800" windowHeight="16260" activeTab="1" xr2:uid="{00000000-000D-0000-FFFF-FFFF00000000}"/>
  </bookViews>
  <sheets>
    <sheet name="Budget vs. Actuals" sheetId="1" r:id="rId1"/>
    <sheet name="High Level CASH FLOW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B20" i="2"/>
  <c r="B19" i="2"/>
  <c r="B18" i="2"/>
  <c r="B17" i="2"/>
  <c r="B16" i="2"/>
  <c r="B15" i="2"/>
  <c r="B22" i="2" s="1"/>
  <c r="B14" i="2"/>
  <c r="B12" i="2"/>
  <c r="B11" i="2"/>
  <c r="B10" i="2"/>
  <c r="B9" i="2"/>
  <c r="B8" i="2"/>
  <c r="B3" i="2"/>
  <c r="B4" i="2" s="1"/>
  <c r="B24" i="2" l="1"/>
  <c r="D136" i="1" l="1"/>
  <c r="D131" i="1"/>
  <c r="D129" i="1"/>
  <c r="D123" i="1"/>
  <c r="D118" i="1"/>
  <c r="D109" i="1"/>
  <c r="D104" i="1"/>
  <c r="D98" i="1"/>
  <c r="D86" i="1"/>
  <c r="D72" i="1"/>
  <c r="D59" i="1"/>
  <c r="D56" i="1"/>
  <c r="D55" i="1"/>
  <c r="D53" i="1"/>
  <c r="D52" i="1"/>
  <c r="D13" i="1"/>
  <c r="D46" i="1"/>
  <c r="D30" i="1"/>
  <c r="D21" i="1"/>
  <c r="C134" i="1"/>
  <c r="C135" i="1" s="1"/>
  <c r="B133" i="1"/>
  <c r="B134" i="1" s="1"/>
  <c r="C128" i="1"/>
  <c r="C125" i="1"/>
  <c r="B125" i="1"/>
  <c r="B129" i="1" s="1"/>
  <c r="C122" i="1"/>
  <c r="B122" i="1"/>
  <c r="C121" i="1"/>
  <c r="B121" i="1"/>
  <c r="C120" i="1"/>
  <c r="B120" i="1"/>
  <c r="C117" i="1"/>
  <c r="B117" i="1"/>
  <c r="C116" i="1"/>
  <c r="C115" i="1"/>
  <c r="B115" i="1"/>
  <c r="B113" i="1"/>
  <c r="C111" i="1"/>
  <c r="C112" i="1" s="1"/>
  <c r="B111" i="1"/>
  <c r="C108" i="1"/>
  <c r="C109" i="1" s="1"/>
  <c r="B108" i="1"/>
  <c r="B109" i="1" s="1"/>
  <c r="C103" i="1"/>
  <c r="B103" i="1"/>
  <c r="C102" i="1"/>
  <c r="B102" i="1"/>
  <c r="C101" i="1"/>
  <c r="B101" i="1"/>
  <c r="C97" i="1"/>
  <c r="B97" i="1"/>
  <c r="C96" i="1"/>
  <c r="B96" i="1"/>
  <c r="C94" i="1"/>
  <c r="B94" i="1"/>
  <c r="C93" i="1"/>
  <c r="B93" i="1"/>
  <c r="C92" i="1"/>
  <c r="B92" i="1"/>
  <c r="C91" i="1"/>
  <c r="B91" i="1"/>
  <c r="C89" i="1"/>
  <c r="B89" i="1"/>
  <c r="C87" i="1"/>
  <c r="B87" i="1"/>
  <c r="C85" i="1"/>
  <c r="B85" i="1"/>
  <c r="C84" i="1"/>
  <c r="B84" i="1"/>
  <c r="C83" i="1"/>
  <c r="B83" i="1"/>
  <c r="C82" i="1"/>
  <c r="B82" i="1"/>
  <c r="C81" i="1"/>
  <c r="C80" i="1"/>
  <c r="B80" i="1"/>
  <c r="C79" i="1"/>
  <c r="B79" i="1"/>
  <c r="C78" i="1"/>
  <c r="C77" i="1"/>
  <c r="B77" i="1"/>
  <c r="C76" i="1"/>
  <c r="B76" i="1"/>
  <c r="C74" i="1"/>
  <c r="B74" i="1"/>
  <c r="C71" i="1"/>
  <c r="B71" i="1"/>
  <c r="C70" i="1"/>
  <c r="B70" i="1"/>
  <c r="B68" i="1"/>
  <c r="C67" i="1"/>
  <c r="B66" i="1"/>
  <c r="B65" i="1"/>
  <c r="C62" i="1"/>
  <c r="B62" i="1"/>
  <c r="C60" i="1"/>
  <c r="B60" i="1"/>
  <c r="C59" i="1"/>
  <c r="B59" i="1"/>
  <c r="C58" i="1"/>
  <c r="B57" i="1"/>
  <c r="C56" i="1"/>
  <c r="B56" i="1"/>
  <c r="C55" i="1"/>
  <c r="C53" i="1"/>
  <c r="B53" i="1"/>
  <c r="C52" i="1"/>
  <c r="B52" i="1"/>
  <c r="B47" i="1"/>
  <c r="C45" i="1"/>
  <c r="B45" i="1"/>
  <c r="C44" i="1"/>
  <c r="B44" i="1"/>
  <c r="C43" i="1"/>
  <c r="B43" i="1"/>
  <c r="C39" i="1"/>
  <c r="B39" i="1"/>
  <c r="C37" i="1"/>
  <c r="B37" i="1"/>
  <c r="C35" i="1"/>
  <c r="C36" i="1" s="1"/>
  <c r="B35" i="1"/>
  <c r="B36" i="1" s="1"/>
  <c r="C33" i="1"/>
  <c r="B32" i="1"/>
  <c r="B33" i="1" s="1"/>
  <c r="C29" i="1"/>
  <c r="B29" i="1"/>
  <c r="C28" i="1"/>
  <c r="B28" i="1"/>
  <c r="C27" i="1"/>
  <c r="B27" i="1"/>
  <c r="C26" i="1"/>
  <c r="B26" i="1"/>
  <c r="C23" i="1"/>
  <c r="B23" i="1"/>
  <c r="B19" i="1"/>
  <c r="B18" i="1"/>
  <c r="C17" i="1"/>
  <c r="C20" i="1" s="1"/>
  <c r="C16" i="1"/>
  <c r="B16" i="1"/>
  <c r="C14" i="1"/>
  <c r="B14" i="1"/>
  <c r="C12" i="1"/>
  <c r="C13" i="1" s="1"/>
  <c r="B12" i="1"/>
  <c r="B13" i="1" s="1"/>
  <c r="C8" i="1"/>
  <c r="B8" i="1"/>
  <c r="D99" i="1" l="1"/>
  <c r="D61" i="1"/>
  <c r="D130" i="1" s="1"/>
  <c r="D48" i="1"/>
  <c r="D49" i="1" s="1"/>
  <c r="C72" i="1"/>
  <c r="B20" i="1"/>
  <c r="B21" i="1" s="1"/>
  <c r="C129" i="1"/>
  <c r="C123" i="1"/>
  <c r="C61" i="1"/>
  <c r="C118" i="1"/>
  <c r="C104" i="1"/>
  <c r="B86" i="1"/>
  <c r="C21" i="1"/>
  <c r="B67" i="1"/>
  <c r="C98" i="1"/>
  <c r="B123" i="1"/>
  <c r="C86" i="1"/>
  <c r="B118" i="1"/>
  <c r="B30" i="1"/>
  <c r="C30" i="1"/>
  <c r="C46" i="1"/>
  <c r="B135" i="1"/>
  <c r="B112" i="1"/>
  <c r="B46" i="1"/>
  <c r="B98" i="1"/>
  <c r="B104" i="1"/>
  <c r="B61" i="1"/>
  <c r="B72" i="1"/>
  <c r="C99" i="1" l="1"/>
  <c r="C130" i="1" s="1"/>
  <c r="C48" i="1"/>
  <c r="C49" i="1" s="1"/>
  <c r="B48" i="1"/>
  <c r="B99" i="1"/>
  <c r="C131" i="1" l="1"/>
  <c r="C136" i="1" s="1"/>
  <c r="B130" i="1"/>
  <c r="B49" i="1"/>
  <c r="B131" i="1" l="1"/>
  <c r="B136" i="1" l="1"/>
</calcChain>
</file>

<file path=xl/sharedStrings.xml><?xml version="1.0" encoding="utf-8"?>
<sst xmlns="http://schemas.openxmlformats.org/spreadsheetml/2006/main" count="168" uniqueCount="159">
  <si>
    <t>Total</t>
  </si>
  <si>
    <t>Actual</t>
  </si>
  <si>
    <t>Budget</t>
  </si>
  <si>
    <t>Income</t>
  </si>
  <si>
    <t xml:space="preserve">   AmazonSmile</t>
  </si>
  <si>
    <t xml:space="preserve">   Back to School Cocktail Party</t>
  </si>
  <si>
    <t xml:space="preserve">      Back to School Auction</t>
  </si>
  <si>
    <t xml:space="preserve">   Total Back to School Cocktail Party</t>
  </si>
  <si>
    <t xml:space="preserve">   Dinner Nights</t>
  </si>
  <si>
    <t xml:space="preserve">   Direct Public Support</t>
  </si>
  <si>
    <t xml:space="preserve">      Corporate Match Contributions</t>
  </si>
  <si>
    <t xml:space="preserve">      Direct Ask</t>
  </si>
  <si>
    <t xml:space="preserve">         Direct Ask - Mailing</t>
  </si>
  <si>
    <t xml:space="preserve">         Direct Ask - Online Donations</t>
  </si>
  <si>
    <t xml:space="preserve">      Total Direct Ask</t>
  </si>
  <si>
    <t xml:space="preserve">   Total Direct Public Support</t>
  </si>
  <si>
    <t xml:space="preserve">   Golf Tournament</t>
  </si>
  <si>
    <t xml:space="preserve">      Drink tickets</t>
  </si>
  <si>
    <t xml:space="preserve">      Entry fees</t>
  </si>
  <si>
    <t xml:space="preserve">      Raffle tickets</t>
  </si>
  <si>
    <t xml:space="preserve">      Sponsorships</t>
  </si>
  <si>
    <t xml:space="preserve">   Total Golf Tournament</t>
  </si>
  <si>
    <t xml:space="preserve">   Investments</t>
  </si>
  <si>
    <t xml:space="preserve">      Dividend, Interest (Securities)</t>
  </si>
  <si>
    <t xml:space="preserve">   Total Investments</t>
  </si>
  <si>
    <t xml:space="preserve">   Other Income</t>
  </si>
  <si>
    <t xml:space="preserve">      PTA Art Program Contribution</t>
  </si>
  <si>
    <t xml:space="preserve">   Total Other Income</t>
  </si>
  <si>
    <t xml:space="preserve">   School Supply Kits</t>
  </si>
  <si>
    <t xml:space="preserve">   Spring Fundraiser</t>
  </si>
  <si>
    <t xml:space="preserve">      Event Activity Tickets</t>
  </si>
  <si>
    <t xml:space="preserve">      Live / Silent Auction</t>
  </si>
  <si>
    <t xml:space="preserve">      Premium Experience</t>
  </si>
  <si>
    <t xml:space="preserve">   Total Spring Fundraiser</t>
  </si>
  <si>
    <t xml:space="preserve">   Unapplied Cash Payment Income</t>
  </si>
  <si>
    <t>Total Income</t>
  </si>
  <si>
    <t>Gross Profit</t>
  </si>
  <si>
    <t>Expenses</t>
  </si>
  <si>
    <t xml:space="preserve">   Administrative</t>
  </si>
  <si>
    <t xml:space="preserve">      Accounting Software</t>
  </si>
  <si>
    <t xml:space="preserve">      Business Registration Fees</t>
  </si>
  <si>
    <t xml:space="preserve">      Hospitality</t>
  </si>
  <si>
    <t xml:space="preserve">      Insurance</t>
  </si>
  <si>
    <t xml:space="preserve">      Postage, Mailing Service</t>
  </si>
  <si>
    <t xml:space="preserve">      Supplies</t>
  </si>
  <si>
    <t xml:space="preserve">      Tax Preparation/Audit Review</t>
  </si>
  <si>
    <t xml:space="preserve">      Website and IT</t>
  </si>
  <si>
    <t xml:space="preserve">   Total Administrative</t>
  </si>
  <si>
    <t xml:space="preserve">   Classroom Fund Donations</t>
  </si>
  <si>
    <t xml:space="preserve">   Fundraising Expense</t>
  </si>
  <si>
    <t xml:space="preserve">      Back-to-School Cocktail Party</t>
  </si>
  <si>
    <t xml:space="preserve">         Auction</t>
  </si>
  <si>
    <t xml:space="preserve">         Credit Card Fees</t>
  </si>
  <si>
    <t xml:space="preserve">      Total Back-to-School Cocktail Party</t>
  </si>
  <si>
    <t xml:space="preserve">      Dinner Nights</t>
  </si>
  <si>
    <t xml:space="preserve">      Direct Ask/Grizzly Growth Fund</t>
  </si>
  <si>
    <t xml:space="preserve">         Advertising/Promotional</t>
  </si>
  <si>
    <t xml:space="preserve">      Total Direct Ask/Grizzly Growth Fund</t>
  </si>
  <si>
    <t xml:space="preserve">      Golf Tournament</t>
  </si>
  <si>
    <t xml:space="preserve">         Advertising-banners and flyers</t>
  </si>
  <si>
    <t xml:space="preserve">         Club charges</t>
  </si>
  <si>
    <t xml:space="preserve">         Entertainment</t>
  </si>
  <si>
    <t xml:space="preserve">         Fairway signs</t>
  </si>
  <si>
    <t xml:space="preserve">         Food</t>
  </si>
  <si>
    <t xml:space="preserve">         Golf Prizes</t>
  </si>
  <si>
    <t xml:space="preserve">         Golfer Gift Bags</t>
  </si>
  <si>
    <t xml:space="preserve">         Insurance</t>
  </si>
  <si>
    <t xml:space="preserve">         Miscellaneous Expenses</t>
  </si>
  <si>
    <t xml:space="preserve">         Trophies</t>
  </si>
  <si>
    <t xml:space="preserve">      Total Golf Tournament</t>
  </si>
  <si>
    <t xml:space="preserve">      School Supply Kits</t>
  </si>
  <si>
    <t xml:space="preserve">      Spring Fundraiser</t>
  </si>
  <si>
    <t xml:space="preserve">         Credit Card Processing Fees</t>
  </si>
  <si>
    <t xml:space="preserve">         Facility costs</t>
  </si>
  <si>
    <t xml:space="preserve">         Marketing</t>
  </si>
  <si>
    <t xml:space="preserve">         Silent Auction</t>
  </si>
  <si>
    <t xml:space="preserve">      Total Spring Fundraiser</t>
  </si>
  <si>
    <t xml:space="preserve">   Total Fundraising Expense</t>
  </si>
  <si>
    <t xml:space="preserve">   Instructional Programs</t>
  </si>
  <si>
    <t xml:space="preserve">      Art Program</t>
  </si>
  <si>
    <t xml:space="preserve">      BrainPop</t>
  </si>
  <si>
    <t xml:space="preserve">      IXL - Software Program</t>
  </si>
  <si>
    <t xml:space="preserve">   Total Instructional Programs</t>
  </si>
  <si>
    <t xml:space="preserve">   Literacy Enrichment</t>
  </si>
  <si>
    <t xml:space="preserve">      Razz Kids</t>
  </si>
  <si>
    <t xml:space="preserve">   Total Literacy Enrichment</t>
  </si>
  <si>
    <t xml:space="preserve">   Other Types of Expenses</t>
  </si>
  <si>
    <t xml:space="preserve">      Back to School Teacher Breakfast</t>
  </si>
  <si>
    <t xml:space="preserve">   Total Other Types of Expenses</t>
  </si>
  <si>
    <t xml:space="preserve">   QuickBooks Payments Fees</t>
  </si>
  <si>
    <t xml:space="preserve">   Science, Tech, Eng and Math</t>
  </si>
  <si>
    <t xml:space="preserve">      Math Excelling Enrichment Impact Teacher</t>
  </si>
  <si>
    <t xml:space="preserve">      Program Support</t>
  </si>
  <si>
    <t xml:space="preserve">      Science Instructor</t>
  </si>
  <si>
    <t xml:space="preserve">   Total Science, Tech, Eng and Math</t>
  </si>
  <si>
    <t xml:space="preserve">   Specialized Instruction</t>
  </si>
  <si>
    <t xml:space="preserve">      Grade level impact teachers</t>
  </si>
  <si>
    <t xml:space="preserve">      Kindergarten instructional aide</t>
  </si>
  <si>
    <t xml:space="preserve">      PE Instructor</t>
  </si>
  <si>
    <t xml:space="preserve">   Total Specialized Instruction</t>
  </si>
  <si>
    <t xml:space="preserve">   Teacher/Classroom Support</t>
  </si>
  <si>
    <t xml:space="preserve">      Classroom Expense Reimbursement</t>
  </si>
  <si>
    <t xml:space="preserve">      Printer Toner/Learning Malls</t>
  </si>
  <si>
    <t xml:space="preserve">   Total Teacher/Classroom Support</t>
  </si>
  <si>
    <t>Total Expenses</t>
  </si>
  <si>
    <t>Net Operating Income</t>
  </si>
  <si>
    <t>Other Expenses</t>
  </si>
  <si>
    <t xml:space="preserve">   Reconciliation Discrepancies-1</t>
  </si>
  <si>
    <t>Total Other Expenses</t>
  </si>
  <si>
    <t>Net Other Income</t>
  </si>
  <si>
    <t>Net Income</t>
  </si>
  <si>
    <t>Monday, Jun 07, 2021 08:51:49 AM GMT-7 - Cash Basis</t>
  </si>
  <si>
    <t>Willow Grove Educational Foundation</t>
  </si>
  <si>
    <t xml:space="preserve">Budget vs. Actuals: FY 2021 BUDGET - FY21 P&amp;L </t>
  </si>
  <si>
    <t>July 2020 - June 2021</t>
  </si>
  <si>
    <t xml:space="preserve">     Auction</t>
  </si>
  <si>
    <t xml:space="preserve">     Dinner Tickets</t>
  </si>
  <si>
    <t xml:space="preserve">      Drink Tickets</t>
  </si>
  <si>
    <t xml:space="preserve">      Entry Fees</t>
  </si>
  <si>
    <t xml:space="preserve">      Income from Prior Year</t>
  </si>
  <si>
    <t xml:space="preserve">      Raffle Tickets</t>
  </si>
  <si>
    <t xml:space="preserve">     Activity Tickets</t>
  </si>
  <si>
    <t xml:space="preserve">      Graphic Design</t>
  </si>
  <si>
    <t xml:space="preserve">        Auction</t>
  </si>
  <si>
    <t xml:space="preserve">         Drinks</t>
  </si>
  <si>
    <t xml:space="preserve">         Live Auction</t>
  </si>
  <si>
    <t xml:space="preserve">     Leveled Readers</t>
  </si>
  <si>
    <t xml:space="preserve">     Library Development</t>
  </si>
  <si>
    <t xml:space="preserve">      PE Equipment</t>
  </si>
  <si>
    <t xml:space="preserve">      New Technology</t>
  </si>
  <si>
    <t>PROPOSED BUDGET  July 2021-June 2022</t>
  </si>
  <si>
    <t>Total Estimated Cash</t>
  </si>
  <si>
    <t>Expenses:</t>
  </si>
  <si>
    <t>Back to School Cocktail Party</t>
  </si>
  <si>
    <t>Direct Ask Expenses</t>
  </si>
  <si>
    <t>Golf Expenses</t>
  </si>
  <si>
    <t>Spring Event Expenses</t>
  </si>
  <si>
    <t>Art Program</t>
  </si>
  <si>
    <t>IXL</t>
  </si>
  <si>
    <t>School Materials/Supplies</t>
  </si>
  <si>
    <t>Science Instructor (includes program support)</t>
  </si>
  <si>
    <t>Math Enrichment</t>
  </si>
  <si>
    <t>PE Teacher</t>
  </si>
  <si>
    <t>Impact Teachers</t>
  </si>
  <si>
    <t>Kinder Impact Teacher</t>
  </si>
  <si>
    <t>Income at 80% (see 2020-2021 Budget)</t>
  </si>
  <si>
    <t>Administrative Expenses (includes Graphic Design)</t>
  </si>
  <si>
    <t>Other Expenses (Dinner Nights, BTS Teacher Breakfast, School Supplies</t>
  </si>
  <si>
    <t>Literacy Development (RAZZ Kids, Brain Pop, Leveled Readers, Libary)</t>
  </si>
  <si>
    <t>labs + assemblies only</t>
  </si>
  <si>
    <t>15 hours week @ 25 weeks</t>
  </si>
  <si>
    <t>17 hours week @ 33 weeks</t>
  </si>
  <si>
    <t>19 hours week @ 33 weeks</t>
  </si>
  <si>
    <t>includes $2k for supplies, expense will decrease if we return to virtual learning</t>
  </si>
  <si>
    <t>includes $10k for technology which will be assessed in the Fall</t>
  </si>
  <si>
    <t>Estimated Cash in Bank at beginning of year (includes cash reserves</t>
  </si>
  <si>
    <t>no longer funding</t>
  </si>
  <si>
    <t>currently planning to not have this event</t>
  </si>
  <si>
    <t>Remaining Cash in June 2022 (includes cash reserves)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</si>
</sst>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.00\ _€"/>
    <numFmt numFmtId="165" formatCode="&quot;$&quot;* #,##0.00\ _€"/>
    <numFmt numFmtId="171" formatCode="_(&quot;$&quot;* #,##0_);_(&quot;$&quot;* \(#,##0\);_(&quot;$&quot;* &quot;-&quot;??_);_(@_)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Avenir Book"/>
      <family val="2"/>
    </font>
    <font>
      <sz val="14"/>
      <color indexed="8"/>
      <name val="Avenir Book"/>
      <family val="2"/>
    </font>
    <font>
      <b/>
      <sz val="14"/>
      <color rgb="FF000000"/>
      <name val="Avenir Book"/>
      <family val="2"/>
    </font>
    <font>
      <sz val="14"/>
      <color rgb="FF000000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3" fillId="0" borderId="0" xfId="0" applyFont="1" applyAlignment="1"/>
    <xf numFmtId="0" fontId="2" fillId="0" borderId="4" xfId="0" applyFont="1" applyBorder="1" applyAlignment="1"/>
    <xf numFmtId="0" fontId="5" fillId="0" borderId="0" xfId="0" applyFont="1" applyBorder="1" applyAlignment="1">
      <alignment wrapText="1"/>
    </xf>
    <xf numFmtId="0" fontId="5" fillId="0" borderId="0" xfId="0" applyFo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171" fontId="5" fillId="0" borderId="1" xfId="1" applyNumberFormat="1" applyFont="1" applyBorder="1"/>
    <xf numFmtId="171" fontId="3" fillId="0" borderId="0" xfId="1" applyNumberFormat="1" applyFont="1" applyAlignment="1">
      <alignment wrapText="1"/>
    </xf>
    <xf numFmtId="171" fontId="2" fillId="0" borderId="4" xfId="1" applyNumberFormat="1" applyFont="1" applyBorder="1" applyAlignment="1">
      <alignment wrapText="1"/>
    </xf>
    <xf numFmtId="171" fontId="3" fillId="0" borderId="0" xfId="1" applyNumberFormat="1" applyFont="1" applyFill="1" applyAlignment="1">
      <alignment wrapText="1"/>
    </xf>
    <xf numFmtId="171" fontId="3" fillId="0" borderId="0" xfId="1" applyNumberFormat="1" applyFont="1" applyFill="1" applyAlignment="1"/>
    <xf numFmtId="171" fontId="2" fillId="0" borderId="0" xfId="1" applyNumberFormat="1" applyFont="1" applyAlignment="1">
      <alignment wrapText="1"/>
    </xf>
    <xf numFmtId="171" fontId="2" fillId="3" borderId="0" xfId="1" applyNumberFormat="1" applyFont="1" applyFill="1" applyAlignment="1">
      <alignment wrapText="1"/>
    </xf>
    <xf numFmtId="171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0"/>
  <sheetViews>
    <sheetView workbookViewId="0">
      <selection activeCell="D55" sqref="D55"/>
    </sheetView>
  </sheetViews>
  <sheetFormatPr baseColWidth="10" defaultColWidth="8.83203125" defaultRowHeight="20" x14ac:dyDescent="0.3"/>
  <cols>
    <col min="1" max="1" width="40.33203125" style="3" customWidth="1"/>
    <col min="2" max="3" width="20.6640625" style="3" customWidth="1"/>
    <col min="4" max="4" width="26.33203125" style="29" customWidth="1"/>
    <col min="5" max="16384" width="8.83203125" style="3"/>
  </cols>
  <sheetData>
    <row r="1" spans="1:4" x14ac:dyDescent="0.3">
      <c r="A1" s="1" t="s">
        <v>112</v>
      </c>
      <c r="B1" s="2"/>
      <c r="C1" s="2"/>
      <c r="D1" s="2"/>
    </row>
    <row r="2" spans="1:4" x14ac:dyDescent="0.3">
      <c r="A2" s="1" t="s">
        <v>113</v>
      </c>
      <c r="B2" s="2"/>
      <c r="C2" s="2"/>
      <c r="D2" s="2"/>
    </row>
    <row r="3" spans="1:4" x14ac:dyDescent="0.3">
      <c r="A3" s="1" t="s">
        <v>114</v>
      </c>
      <c r="B3" s="2"/>
      <c r="C3" s="2"/>
      <c r="D3" s="2"/>
    </row>
    <row r="4" spans="1:4" x14ac:dyDescent="0.3">
      <c r="D4" s="13" t="s">
        <v>130</v>
      </c>
    </row>
    <row r="5" spans="1:4" ht="20" customHeight="1" x14ac:dyDescent="0.3">
      <c r="A5" s="4"/>
      <c r="B5" s="12" t="s">
        <v>0</v>
      </c>
      <c r="C5" s="12"/>
      <c r="D5" s="13"/>
    </row>
    <row r="6" spans="1:4" ht="21" x14ac:dyDescent="0.3">
      <c r="A6" s="4"/>
      <c r="B6" s="5" t="s">
        <v>1</v>
      </c>
      <c r="C6" s="5" t="s">
        <v>2</v>
      </c>
      <c r="D6" s="14"/>
    </row>
    <row r="7" spans="1:4" ht="21" x14ac:dyDescent="0.3">
      <c r="A7" s="6" t="s">
        <v>3</v>
      </c>
      <c r="B7" s="7"/>
      <c r="C7" s="7"/>
      <c r="D7" s="15"/>
    </row>
    <row r="8" spans="1:4" ht="21" x14ac:dyDescent="0.3">
      <c r="A8" s="6" t="s">
        <v>4</v>
      </c>
      <c r="B8" s="8">
        <f>534.37</f>
        <v>534.37</v>
      </c>
      <c r="C8" s="8">
        <f>500</f>
        <v>500</v>
      </c>
      <c r="D8" s="16">
        <v>500</v>
      </c>
    </row>
    <row r="9" spans="1:4" ht="21" x14ac:dyDescent="0.3">
      <c r="A9" s="6" t="s">
        <v>5</v>
      </c>
      <c r="B9" s="7"/>
      <c r="C9" s="7"/>
      <c r="D9" s="17"/>
    </row>
    <row r="10" spans="1:4" ht="21" x14ac:dyDescent="0.3">
      <c r="A10" s="6" t="s">
        <v>120</v>
      </c>
      <c r="B10" s="7"/>
      <c r="C10" s="7"/>
      <c r="D10" s="17"/>
    </row>
    <row r="11" spans="1:4" ht="21" x14ac:dyDescent="0.3">
      <c r="A11" s="6" t="s">
        <v>118</v>
      </c>
      <c r="B11" s="7"/>
      <c r="C11" s="7"/>
      <c r="D11" s="17"/>
    </row>
    <row r="12" spans="1:4" ht="21" x14ac:dyDescent="0.3">
      <c r="A12" s="6" t="s">
        <v>6</v>
      </c>
      <c r="B12" s="8">
        <f>17722.3</f>
        <v>17722.3</v>
      </c>
      <c r="C12" s="8">
        <f>5000</f>
        <v>5000</v>
      </c>
      <c r="D12" s="18">
        <v>0</v>
      </c>
    </row>
    <row r="13" spans="1:4" ht="21" x14ac:dyDescent="0.3">
      <c r="A13" s="6" t="s">
        <v>7</v>
      </c>
      <c r="B13" s="9">
        <f>(B9)+(B12)</f>
        <v>17722.3</v>
      </c>
      <c r="C13" s="9">
        <f>(C9)+(C12)</f>
        <v>5000</v>
      </c>
      <c r="D13" s="16">
        <f>SUM(D10:D12)</f>
        <v>0</v>
      </c>
    </row>
    <row r="14" spans="1:4" ht="21" x14ac:dyDescent="0.3">
      <c r="A14" s="6" t="s">
        <v>8</v>
      </c>
      <c r="B14" s="8">
        <f>5138.49</f>
        <v>5138.49</v>
      </c>
      <c r="C14" s="8">
        <f>300</f>
        <v>300</v>
      </c>
      <c r="D14" s="16">
        <v>4000</v>
      </c>
    </row>
    <row r="15" spans="1:4" ht="21" x14ac:dyDescent="0.3">
      <c r="A15" s="6" t="s">
        <v>9</v>
      </c>
      <c r="B15" s="7"/>
      <c r="C15" s="7"/>
      <c r="D15" s="16"/>
    </row>
    <row r="16" spans="1:4" ht="21" x14ac:dyDescent="0.3">
      <c r="A16" s="6" t="s">
        <v>10</v>
      </c>
      <c r="B16" s="8">
        <f>19469.23</f>
        <v>19469.23</v>
      </c>
      <c r="C16" s="8">
        <f>7386</f>
        <v>7386</v>
      </c>
      <c r="D16" s="16">
        <v>10000</v>
      </c>
    </row>
    <row r="17" spans="1:4" ht="21" x14ac:dyDescent="0.3">
      <c r="A17" s="6" t="s">
        <v>11</v>
      </c>
      <c r="B17" s="7"/>
      <c r="C17" s="8">
        <f>42642</f>
        <v>42642</v>
      </c>
      <c r="D17" s="17">
        <v>65000</v>
      </c>
    </row>
    <row r="18" spans="1:4" ht="21" x14ac:dyDescent="0.3">
      <c r="A18" s="6" t="s">
        <v>12</v>
      </c>
      <c r="B18" s="8">
        <f>16102.39</f>
        <v>16102.39</v>
      </c>
      <c r="C18" s="7"/>
      <c r="D18" s="16"/>
    </row>
    <row r="19" spans="1:4" ht="21" x14ac:dyDescent="0.3">
      <c r="A19" s="6" t="s">
        <v>13</v>
      </c>
      <c r="B19" s="8">
        <f>41003</f>
        <v>41003</v>
      </c>
      <c r="C19" s="7"/>
      <c r="D19" s="18"/>
    </row>
    <row r="20" spans="1:4" ht="21" x14ac:dyDescent="0.3">
      <c r="A20" s="6" t="s">
        <v>14</v>
      </c>
      <c r="B20" s="9">
        <f>((B17)+(B18))+(B19)</f>
        <v>57105.39</v>
      </c>
      <c r="C20" s="9">
        <f>((C17)+(C18))+(C19)</f>
        <v>42642</v>
      </c>
      <c r="D20" s="19">
        <v>65000</v>
      </c>
    </row>
    <row r="21" spans="1:4" ht="21" x14ac:dyDescent="0.3">
      <c r="A21" s="6" t="s">
        <v>15</v>
      </c>
      <c r="B21" s="9">
        <f>((B15)+(B16))+(B20)</f>
        <v>76574.62</v>
      </c>
      <c r="C21" s="9">
        <f>((C15)+(C16))+(C20)</f>
        <v>50028</v>
      </c>
      <c r="D21" s="16">
        <f>SUM(D16+D20)</f>
        <v>75000</v>
      </c>
    </row>
    <row r="22" spans="1:4" ht="21" x14ac:dyDescent="0.3">
      <c r="A22" s="6" t="s">
        <v>16</v>
      </c>
      <c r="B22" s="7"/>
      <c r="C22" s="7"/>
      <c r="D22" s="16"/>
    </row>
    <row r="23" spans="1:4" ht="21" x14ac:dyDescent="0.3">
      <c r="A23" s="6" t="s">
        <v>121</v>
      </c>
      <c r="B23" s="8">
        <f>3400</f>
        <v>3400</v>
      </c>
      <c r="C23" s="8">
        <f>2080</f>
        <v>2080</v>
      </c>
      <c r="D23" s="17">
        <v>3600</v>
      </c>
    </row>
    <row r="24" spans="1:4" ht="21" x14ac:dyDescent="0.3">
      <c r="A24" s="6" t="s">
        <v>115</v>
      </c>
      <c r="B24" s="8"/>
      <c r="C24" s="8"/>
      <c r="D24" s="17">
        <v>20000</v>
      </c>
    </row>
    <row r="25" spans="1:4" ht="21" x14ac:dyDescent="0.3">
      <c r="A25" s="6" t="s">
        <v>116</v>
      </c>
      <c r="B25" s="8"/>
      <c r="C25" s="8"/>
      <c r="D25" s="17">
        <v>5000</v>
      </c>
    </row>
    <row r="26" spans="1:4" ht="21" x14ac:dyDescent="0.3">
      <c r="A26" s="6" t="s">
        <v>17</v>
      </c>
      <c r="B26" s="8">
        <f>1098</f>
        <v>1098</v>
      </c>
      <c r="C26" s="8">
        <f>3138</f>
        <v>3138</v>
      </c>
      <c r="D26" s="17">
        <v>4000</v>
      </c>
    </row>
    <row r="27" spans="1:4" ht="21" x14ac:dyDescent="0.3">
      <c r="A27" s="6" t="s">
        <v>18</v>
      </c>
      <c r="B27" s="8">
        <f>27640</f>
        <v>27640</v>
      </c>
      <c r="C27" s="8">
        <f>18613</f>
        <v>18613</v>
      </c>
      <c r="D27" s="17">
        <v>30000</v>
      </c>
    </row>
    <row r="28" spans="1:4" ht="21" x14ac:dyDescent="0.3">
      <c r="A28" s="6" t="s">
        <v>19</v>
      </c>
      <c r="B28" s="8">
        <f>6550</f>
        <v>6550</v>
      </c>
      <c r="C28" s="8">
        <f>5500</f>
        <v>5500</v>
      </c>
      <c r="D28" s="17">
        <v>8000</v>
      </c>
    </row>
    <row r="29" spans="1:4" ht="21" x14ac:dyDescent="0.3">
      <c r="A29" s="6" t="s">
        <v>20</v>
      </c>
      <c r="B29" s="8">
        <f>20250</f>
        <v>20250</v>
      </c>
      <c r="C29" s="8">
        <f>21750</f>
        <v>21750</v>
      </c>
      <c r="D29" s="18">
        <v>30000</v>
      </c>
    </row>
    <row r="30" spans="1:4" ht="21" x14ac:dyDescent="0.3">
      <c r="A30" s="6" t="s">
        <v>21</v>
      </c>
      <c r="B30" s="9">
        <f>(((((B22)+(B23))+(B26))+(B27))+(B28))+(B29)</f>
        <v>58938</v>
      </c>
      <c r="C30" s="9">
        <f>(((((C22)+(C23))+(C26))+(C27))+(C28))+(C29)</f>
        <v>51081</v>
      </c>
      <c r="D30" s="16">
        <f>SUM(D23:D29)</f>
        <v>100600</v>
      </c>
    </row>
    <row r="31" spans="1:4" ht="21" x14ac:dyDescent="0.3">
      <c r="A31" s="6" t="s">
        <v>22</v>
      </c>
      <c r="B31" s="7"/>
      <c r="C31" s="7"/>
      <c r="D31" s="17"/>
    </row>
    <row r="32" spans="1:4" ht="21" x14ac:dyDescent="0.3">
      <c r="A32" s="6" t="s">
        <v>23</v>
      </c>
      <c r="B32" s="8">
        <f>3.68</f>
        <v>3.68</v>
      </c>
      <c r="C32" s="7"/>
      <c r="D32" s="18">
        <v>0</v>
      </c>
    </row>
    <row r="33" spans="1:4" ht="21" x14ac:dyDescent="0.3">
      <c r="A33" s="6" t="s">
        <v>24</v>
      </c>
      <c r="B33" s="9">
        <f>(B31)+(B32)</f>
        <v>3.68</v>
      </c>
      <c r="C33" s="9">
        <f>(C31)+(C32)</f>
        <v>0</v>
      </c>
      <c r="D33" s="16">
        <v>0</v>
      </c>
    </row>
    <row r="34" spans="1:4" ht="21" x14ac:dyDescent="0.3">
      <c r="A34" s="6" t="s">
        <v>25</v>
      </c>
      <c r="B34" s="7"/>
      <c r="C34" s="7"/>
      <c r="D34" s="16"/>
    </row>
    <row r="35" spans="1:4" ht="21" x14ac:dyDescent="0.3">
      <c r="A35" s="6" t="s">
        <v>26</v>
      </c>
      <c r="B35" s="8">
        <f>11000</f>
        <v>11000</v>
      </c>
      <c r="C35" s="8">
        <f>11000</f>
        <v>11000</v>
      </c>
      <c r="D35" s="18">
        <v>10000</v>
      </c>
    </row>
    <row r="36" spans="1:4" ht="21" x14ac:dyDescent="0.3">
      <c r="A36" s="6" t="s">
        <v>27</v>
      </c>
      <c r="B36" s="9">
        <f>(B34)+(B35)</f>
        <v>11000</v>
      </c>
      <c r="C36" s="9">
        <f>(C34)+(C35)</f>
        <v>11000</v>
      </c>
      <c r="D36" s="20">
        <v>10000</v>
      </c>
    </row>
    <row r="37" spans="1:4" ht="21" x14ac:dyDescent="0.3">
      <c r="A37" s="6" t="s">
        <v>28</v>
      </c>
      <c r="B37" s="8">
        <f>5198.1</f>
        <v>5198.1000000000004</v>
      </c>
      <c r="C37" s="8">
        <f>2120</f>
        <v>2120</v>
      </c>
      <c r="D37" s="16">
        <v>3700</v>
      </c>
    </row>
    <row r="38" spans="1:4" ht="21" x14ac:dyDescent="0.3">
      <c r="A38" s="6" t="s">
        <v>29</v>
      </c>
      <c r="B38" s="7"/>
      <c r="C38" s="7"/>
      <c r="D38" s="17"/>
    </row>
    <row r="39" spans="1:4" ht="21" x14ac:dyDescent="0.3">
      <c r="A39" s="6" t="s">
        <v>30</v>
      </c>
      <c r="B39" s="8">
        <f>2763</f>
        <v>2763</v>
      </c>
      <c r="C39" s="8">
        <f>2000</f>
        <v>2000</v>
      </c>
      <c r="D39" s="17">
        <v>0</v>
      </c>
    </row>
    <row r="40" spans="1:4" ht="21" x14ac:dyDescent="0.3">
      <c r="A40" s="6" t="s">
        <v>117</v>
      </c>
      <c r="B40" s="8"/>
      <c r="C40" s="8"/>
      <c r="D40" s="17">
        <v>2500</v>
      </c>
    </row>
    <row r="41" spans="1:4" ht="21" x14ac:dyDescent="0.3">
      <c r="A41" s="6" t="s">
        <v>118</v>
      </c>
      <c r="B41" s="8"/>
      <c r="C41" s="8"/>
      <c r="D41" s="17">
        <v>11000</v>
      </c>
    </row>
    <row r="42" spans="1:4" ht="21" x14ac:dyDescent="0.3">
      <c r="A42" s="6" t="s">
        <v>119</v>
      </c>
      <c r="B42" s="8"/>
      <c r="C42" s="8"/>
      <c r="D42" s="17">
        <v>0</v>
      </c>
    </row>
    <row r="43" spans="1:4" ht="21" x14ac:dyDescent="0.3">
      <c r="A43" s="6" t="s">
        <v>31</v>
      </c>
      <c r="B43" s="8">
        <f>33161.63</f>
        <v>33161.629999999997</v>
      </c>
      <c r="C43" s="8">
        <f>20000</f>
        <v>20000</v>
      </c>
      <c r="D43" s="17">
        <v>45000</v>
      </c>
    </row>
    <row r="44" spans="1:4" ht="21" x14ac:dyDescent="0.3">
      <c r="A44" s="6" t="s">
        <v>32</v>
      </c>
      <c r="B44" s="8">
        <f>3920</f>
        <v>3920</v>
      </c>
      <c r="C44" s="8">
        <f>2000</f>
        <v>2000</v>
      </c>
      <c r="D44" s="17">
        <v>540</v>
      </c>
    </row>
    <row r="45" spans="1:4" ht="21" x14ac:dyDescent="0.3">
      <c r="A45" s="6" t="s">
        <v>20</v>
      </c>
      <c r="B45" s="8">
        <f>2000</f>
        <v>2000</v>
      </c>
      <c r="C45" s="8">
        <f>2000</f>
        <v>2000</v>
      </c>
      <c r="D45" s="17">
        <v>2500</v>
      </c>
    </row>
    <row r="46" spans="1:4" ht="21" x14ac:dyDescent="0.3">
      <c r="A46" s="6" t="s">
        <v>33</v>
      </c>
      <c r="B46" s="9">
        <f>((((B38)+(B39))+(B43))+(B44))+(B45)</f>
        <v>41844.629999999997</v>
      </c>
      <c r="C46" s="9">
        <f>((((C38)+(C39))+(C43))+(C44))+(C45)</f>
        <v>26000</v>
      </c>
      <c r="D46" s="20">
        <f>SUM(D39:D45)</f>
        <v>61540</v>
      </c>
    </row>
    <row r="47" spans="1:4" ht="21" x14ac:dyDescent="0.3">
      <c r="A47" s="6" t="s">
        <v>34</v>
      </c>
      <c r="B47" s="8">
        <f>0</f>
        <v>0</v>
      </c>
      <c r="C47" s="7"/>
      <c r="D47" s="17">
        <v>0</v>
      </c>
    </row>
    <row r="48" spans="1:4" ht="21" x14ac:dyDescent="0.3">
      <c r="A48" s="6" t="s">
        <v>35</v>
      </c>
      <c r="B48" s="9">
        <f>(((((((((B8)+(B13))+(B14))+(B21))+(B30))+(B33))+(B36))+(B37))+(B46))+(B47)</f>
        <v>216954.19</v>
      </c>
      <c r="C48" s="9">
        <f>(((((((((C8)+(C13))+(C14))+(C21))+(C30))+(C33))+(C36))+(C37))+(C46))+(C47)</f>
        <v>146029</v>
      </c>
      <c r="D48" s="19">
        <f>SUM(D8+D13+D14+D21+D30+D33+D36+D37+D46)</f>
        <v>255340</v>
      </c>
    </row>
    <row r="49" spans="1:4" ht="21" x14ac:dyDescent="0.3">
      <c r="A49" s="6" t="s">
        <v>36</v>
      </c>
      <c r="B49" s="9">
        <f>(B48)-(0)</f>
        <v>216954.19</v>
      </c>
      <c r="C49" s="9">
        <f>(C48)-(0)</f>
        <v>146029</v>
      </c>
      <c r="D49" s="16">
        <f>D48-0</f>
        <v>255340</v>
      </c>
    </row>
    <row r="50" spans="1:4" ht="21" x14ac:dyDescent="0.3">
      <c r="A50" s="6" t="s">
        <v>37</v>
      </c>
      <c r="B50" s="7"/>
      <c r="C50" s="7"/>
      <c r="D50" s="17"/>
    </row>
    <row r="51" spans="1:4" ht="21" x14ac:dyDescent="0.3">
      <c r="A51" s="6" t="s">
        <v>38</v>
      </c>
      <c r="B51" s="7"/>
      <c r="C51" s="7"/>
      <c r="D51" s="17"/>
    </row>
    <row r="52" spans="1:4" ht="21" x14ac:dyDescent="0.3">
      <c r="A52" s="6" t="s">
        <v>39</v>
      </c>
      <c r="B52" s="8">
        <f>770</f>
        <v>770</v>
      </c>
      <c r="C52" s="8">
        <f>960</f>
        <v>960</v>
      </c>
      <c r="D52" s="15">
        <f>960</f>
        <v>960</v>
      </c>
    </row>
    <row r="53" spans="1:4" ht="21" x14ac:dyDescent="0.3">
      <c r="A53" s="6" t="s">
        <v>40</v>
      </c>
      <c r="B53" s="8">
        <f>90</f>
        <v>90</v>
      </c>
      <c r="C53" s="8">
        <f>120</f>
        <v>120</v>
      </c>
      <c r="D53" s="15">
        <f>120</f>
        <v>120</v>
      </c>
    </row>
    <row r="54" spans="1:4" ht="21" x14ac:dyDescent="0.3">
      <c r="A54" s="6" t="s">
        <v>122</v>
      </c>
      <c r="B54" s="8"/>
      <c r="C54" s="8"/>
      <c r="D54" s="15">
        <v>5000</v>
      </c>
    </row>
    <row r="55" spans="1:4" ht="21" x14ac:dyDescent="0.3">
      <c r="A55" s="6" t="s">
        <v>41</v>
      </c>
      <c r="B55" s="8">
        <v>750</v>
      </c>
      <c r="C55" s="8">
        <f>750</f>
        <v>750</v>
      </c>
      <c r="D55" s="15">
        <f>750</f>
        <v>750</v>
      </c>
    </row>
    <row r="56" spans="1:4" ht="21" x14ac:dyDescent="0.3">
      <c r="A56" s="6" t="s">
        <v>42</v>
      </c>
      <c r="B56" s="8">
        <f>325</f>
        <v>325</v>
      </c>
      <c r="C56" s="8">
        <f>325</f>
        <v>325</v>
      </c>
      <c r="D56" s="15">
        <f>325</f>
        <v>325</v>
      </c>
    </row>
    <row r="57" spans="1:4" ht="21" x14ac:dyDescent="0.3">
      <c r="A57" s="6" t="s">
        <v>43</v>
      </c>
      <c r="B57" s="8">
        <f>12.3</f>
        <v>12.3</v>
      </c>
      <c r="C57" s="7"/>
      <c r="D57" s="15">
        <v>25</v>
      </c>
    </row>
    <row r="58" spans="1:4" ht="21" x14ac:dyDescent="0.3">
      <c r="A58" s="6" t="s">
        <v>44</v>
      </c>
      <c r="B58" s="7"/>
      <c r="C58" s="8">
        <f>100</f>
        <v>100</v>
      </c>
      <c r="D58" s="15">
        <v>0</v>
      </c>
    </row>
    <row r="59" spans="1:4" ht="21" x14ac:dyDescent="0.3">
      <c r="A59" s="6" t="s">
        <v>45</v>
      </c>
      <c r="B59" s="8">
        <f>1500</f>
        <v>1500</v>
      </c>
      <c r="C59" s="8">
        <f>1500</f>
        <v>1500</v>
      </c>
      <c r="D59" s="15">
        <f>1500</f>
        <v>1500</v>
      </c>
    </row>
    <row r="60" spans="1:4" ht="21" x14ac:dyDescent="0.3">
      <c r="A60" s="6" t="s">
        <v>46</v>
      </c>
      <c r="B60" s="8">
        <f>912.51</f>
        <v>912.51</v>
      </c>
      <c r="C60" s="8">
        <f>600</f>
        <v>600</v>
      </c>
      <c r="D60" s="15">
        <v>900</v>
      </c>
    </row>
    <row r="61" spans="1:4" ht="21" x14ac:dyDescent="0.3">
      <c r="A61" s="6" t="s">
        <v>47</v>
      </c>
      <c r="B61" s="9">
        <f>((((((((B51)+(B52))+(B53))+(B55))+(B56))+(B57))+(B58))+(B59))+(B60)</f>
        <v>4359.8100000000004</v>
      </c>
      <c r="C61" s="9">
        <f>((((((((C51)+(C52))+(C53))+(C55))+(C56))+(C57))+(C58))+(C59))+(C60)</f>
        <v>4355</v>
      </c>
      <c r="D61" s="21">
        <f>SUM(D52:D60)</f>
        <v>9580</v>
      </c>
    </row>
    <row r="62" spans="1:4" ht="21" x14ac:dyDescent="0.3">
      <c r="A62" s="6" t="s">
        <v>48</v>
      </c>
      <c r="B62" s="8">
        <f>232.22</f>
        <v>232.22</v>
      </c>
      <c r="C62" s="8">
        <f>3147.66</f>
        <v>3147.66</v>
      </c>
      <c r="D62" s="22">
        <v>0</v>
      </c>
    </row>
    <row r="63" spans="1:4" ht="21" x14ac:dyDescent="0.3">
      <c r="A63" s="6" t="s">
        <v>49</v>
      </c>
      <c r="B63" s="7"/>
      <c r="C63" s="7"/>
      <c r="D63" s="23"/>
    </row>
    <row r="64" spans="1:4" ht="21" x14ac:dyDescent="0.3">
      <c r="A64" s="6" t="s">
        <v>50</v>
      </c>
      <c r="B64" s="7"/>
      <c r="C64" s="7"/>
      <c r="D64" s="23"/>
    </row>
    <row r="65" spans="1:4" ht="21" x14ac:dyDescent="0.3">
      <c r="A65" s="6" t="s">
        <v>51</v>
      </c>
      <c r="B65" s="8">
        <f>115.35</f>
        <v>115.35</v>
      </c>
      <c r="C65" s="7"/>
      <c r="D65" s="23"/>
    </row>
    <row r="66" spans="1:4" ht="21" x14ac:dyDescent="0.3">
      <c r="A66" s="6" t="s">
        <v>52</v>
      </c>
      <c r="B66" s="8">
        <f>1186.85</f>
        <v>1186.8499999999999</v>
      </c>
      <c r="C66" s="7"/>
      <c r="D66" s="23"/>
    </row>
    <row r="67" spans="1:4" ht="42" x14ac:dyDescent="0.3">
      <c r="A67" s="6" t="s">
        <v>53</v>
      </c>
      <c r="B67" s="9">
        <f>((B64)+(B65))+(B66)</f>
        <v>1302.1999999999998</v>
      </c>
      <c r="C67" s="9">
        <f>((C64)+(C65))+(C66)</f>
        <v>0</v>
      </c>
      <c r="D67" s="24">
        <v>0</v>
      </c>
    </row>
    <row r="68" spans="1:4" ht="21" x14ac:dyDescent="0.3">
      <c r="A68" s="6" t="s">
        <v>54</v>
      </c>
      <c r="B68" s="8">
        <f>151.48</f>
        <v>151.47999999999999</v>
      </c>
      <c r="C68" s="7"/>
      <c r="D68" s="22">
        <v>160</v>
      </c>
    </row>
    <row r="69" spans="1:4" ht="21" x14ac:dyDescent="0.3">
      <c r="A69" s="6" t="s">
        <v>55</v>
      </c>
      <c r="B69" s="7"/>
      <c r="C69" s="7"/>
      <c r="D69" s="16"/>
    </row>
    <row r="70" spans="1:4" ht="21" x14ac:dyDescent="0.3">
      <c r="A70" s="6" t="s">
        <v>56</v>
      </c>
      <c r="B70" s="8">
        <f>685.48</f>
        <v>685.48</v>
      </c>
      <c r="C70" s="8">
        <f>1500</f>
        <v>1500</v>
      </c>
      <c r="D70" s="25">
        <v>1000</v>
      </c>
    </row>
    <row r="71" spans="1:4" ht="21" x14ac:dyDescent="0.3">
      <c r="A71" s="6" t="s">
        <v>52</v>
      </c>
      <c r="B71" s="8">
        <f>1451.58</f>
        <v>1451.58</v>
      </c>
      <c r="C71" s="8">
        <f>710</f>
        <v>710</v>
      </c>
      <c r="D71" s="25">
        <v>2500</v>
      </c>
    </row>
    <row r="72" spans="1:4" ht="42" x14ac:dyDescent="0.3">
      <c r="A72" s="6" t="s">
        <v>57</v>
      </c>
      <c r="B72" s="9">
        <f>((B69)+(B70))+(B71)</f>
        <v>2137.06</v>
      </c>
      <c r="C72" s="9">
        <f>((C69)+(C70))+(C71)</f>
        <v>2210</v>
      </c>
      <c r="D72" s="20">
        <f>SUM(D70:D71)</f>
        <v>3500</v>
      </c>
    </row>
    <row r="73" spans="1:4" ht="21" x14ac:dyDescent="0.3">
      <c r="A73" s="6" t="s">
        <v>58</v>
      </c>
      <c r="B73" s="7"/>
      <c r="C73" s="7"/>
      <c r="D73" s="17"/>
    </row>
    <row r="74" spans="1:4" ht="21" x14ac:dyDescent="0.3">
      <c r="A74" s="6" t="s">
        <v>59</v>
      </c>
      <c r="B74" s="8">
        <f>730.69</f>
        <v>730.69</v>
      </c>
      <c r="C74" s="8">
        <f>600</f>
        <v>600</v>
      </c>
      <c r="D74" s="25">
        <v>1200</v>
      </c>
    </row>
    <row r="75" spans="1:4" ht="21" x14ac:dyDescent="0.3">
      <c r="A75" s="6" t="s">
        <v>123</v>
      </c>
      <c r="B75" s="8"/>
      <c r="C75" s="8"/>
      <c r="D75" s="25">
        <v>2400</v>
      </c>
    </row>
    <row r="76" spans="1:4" ht="21" x14ac:dyDescent="0.3">
      <c r="A76" s="6" t="s">
        <v>60</v>
      </c>
      <c r="B76" s="8">
        <f>14114.56</f>
        <v>14114.56</v>
      </c>
      <c r="C76" s="8">
        <f>20173</f>
        <v>20173</v>
      </c>
      <c r="D76" s="25">
        <v>40500</v>
      </c>
    </row>
    <row r="77" spans="1:4" ht="21" x14ac:dyDescent="0.3">
      <c r="A77" s="6" t="s">
        <v>52</v>
      </c>
      <c r="B77" s="8">
        <f>1589.22</f>
        <v>1589.22</v>
      </c>
      <c r="C77" s="8">
        <f>506</f>
        <v>506</v>
      </c>
      <c r="D77" s="25">
        <v>2000</v>
      </c>
    </row>
    <row r="78" spans="1:4" ht="21" x14ac:dyDescent="0.3">
      <c r="A78" s="6" t="s">
        <v>61</v>
      </c>
      <c r="B78" s="7"/>
      <c r="C78" s="8">
        <f>500</f>
        <v>500</v>
      </c>
      <c r="D78" s="25">
        <v>800</v>
      </c>
    </row>
    <row r="79" spans="1:4" ht="21" x14ac:dyDescent="0.3">
      <c r="A79" s="6" t="s">
        <v>62</v>
      </c>
      <c r="B79" s="8">
        <f>1212.26</f>
        <v>1212.26</v>
      </c>
      <c r="C79" s="8">
        <f>670</f>
        <v>670</v>
      </c>
      <c r="D79" s="25">
        <v>1400</v>
      </c>
    </row>
    <row r="80" spans="1:4" ht="21" x14ac:dyDescent="0.3">
      <c r="A80" s="6" t="s">
        <v>63</v>
      </c>
      <c r="B80" s="8">
        <f>681.34</f>
        <v>681.34</v>
      </c>
      <c r="C80" s="8">
        <f>200</f>
        <v>200</v>
      </c>
      <c r="D80" s="25">
        <v>200</v>
      </c>
    </row>
    <row r="81" spans="1:4" ht="21" x14ac:dyDescent="0.3">
      <c r="A81" s="6" t="s">
        <v>64</v>
      </c>
      <c r="B81" s="7"/>
      <c r="C81" s="8">
        <f>250</f>
        <v>250</v>
      </c>
      <c r="D81" s="25">
        <v>250</v>
      </c>
    </row>
    <row r="82" spans="1:4" ht="21" x14ac:dyDescent="0.3">
      <c r="A82" s="6" t="s">
        <v>65</v>
      </c>
      <c r="B82" s="8">
        <f>624.94</f>
        <v>624.94000000000005</v>
      </c>
      <c r="C82" s="8">
        <f>500</f>
        <v>500</v>
      </c>
      <c r="D82" s="25">
        <v>980</v>
      </c>
    </row>
    <row r="83" spans="1:4" ht="21" x14ac:dyDescent="0.3">
      <c r="A83" s="6" t="s">
        <v>66</v>
      </c>
      <c r="B83" s="8">
        <f>1917</f>
        <v>1917</v>
      </c>
      <c r="C83" s="8">
        <f>2700</f>
        <v>2700</v>
      </c>
      <c r="D83" s="25">
        <v>2700</v>
      </c>
    </row>
    <row r="84" spans="1:4" ht="21" x14ac:dyDescent="0.3">
      <c r="A84" s="6" t="s">
        <v>67</v>
      </c>
      <c r="B84" s="8">
        <f>1146.68</f>
        <v>1146.68</v>
      </c>
      <c r="C84" s="8">
        <f>2184</f>
        <v>2184</v>
      </c>
      <c r="D84" s="25">
        <v>4000</v>
      </c>
    </row>
    <row r="85" spans="1:4" ht="21" x14ac:dyDescent="0.3">
      <c r="A85" s="6" t="s">
        <v>68</v>
      </c>
      <c r="B85" s="8">
        <f>586.06</f>
        <v>586.05999999999995</v>
      </c>
      <c r="C85" s="8">
        <f>500</f>
        <v>500</v>
      </c>
      <c r="D85" s="25">
        <v>600</v>
      </c>
    </row>
    <row r="86" spans="1:4" ht="21" x14ac:dyDescent="0.3">
      <c r="A86" s="6" t="s">
        <v>69</v>
      </c>
      <c r="B86" s="9">
        <f>(((((((((((B73)+(B74))+(B76))+(B77))+(B78))+(B79))+(B80))+(B81))+(B82))+(B83))+(B84))+(B85)</f>
        <v>22602.75</v>
      </c>
      <c r="C86" s="9">
        <f>(((((((((((C73)+(C74))+(C76))+(C77))+(C78))+(C79))+(C80))+(C81))+(C82))+(C83))+(C84))+(C85)</f>
        <v>28783</v>
      </c>
      <c r="D86" s="26">
        <f>SUM(D74:D85)</f>
        <v>57030</v>
      </c>
    </row>
    <row r="87" spans="1:4" ht="21" x14ac:dyDescent="0.3">
      <c r="A87" s="6" t="s">
        <v>70</v>
      </c>
      <c r="B87" s="8">
        <f>91.97</f>
        <v>91.97</v>
      </c>
      <c r="C87" s="8">
        <f>150</f>
        <v>150</v>
      </c>
      <c r="D87" s="16">
        <v>150</v>
      </c>
    </row>
    <row r="88" spans="1:4" ht="21" x14ac:dyDescent="0.3">
      <c r="A88" s="6" t="s">
        <v>71</v>
      </c>
      <c r="B88" s="7"/>
      <c r="C88" s="7"/>
      <c r="D88" s="17"/>
    </row>
    <row r="89" spans="1:4" ht="21" x14ac:dyDescent="0.3">
      <c r="A89" s="6" t="s">
        <v>72</v>
      </c>
      <c r="B89" s="8">
        <f>2081.89</f>
        <v>2081.89</v>
      </c>
      <c r="C89" s="8">
        <f>1700</f>
        <v>1700</v>
      </c>
      <c r="D89" s="25">
        <v>4300</v>
      </c>
    </row>
    <row r="90" spans="1:4" ht="21" x14ac:dyDescent="0.3">
      <c r="A90" s="6" t="s">
        <v>124</v>
      </c>
      <c r="B90" s="8"/>
      <c r="C90" s="8"/>
      <c r="D90" s="25">
        <v>2000</v>
      </c>
    </row>
    <row r="91" spans="1:4" ht="21" x14ac:dyDescent="0.3">
      <c r="A91" s="6" t="s">
        <v>61</v>
      </c>
      <c r="B91" s="8">
        <f>878</f>
        <v>878</v>
      </c>
      <c r="C91" s="8">
        <f>200</f>
        <v>200</v>
      </c>
      <c r="D91" s="25">
        <v>1500</v>
      </c>
    </row>
    <row r="92" spans="1:4" ht="21" x14ac:dyDescent="0.3">
      <c r="A92" s="6" t="s">
        <v>73</v>
      </c>
      <c r="B92" s="8">
        <f>2266.41</f>
        <v>2266.41</v>
      </c>
      <c r="C92" s="8">
        <f>700</f>
        <v>700</v>
      </c>
      <c r="D92" s="25">
        <v>10000</v>
      </c>
    </row>
    <row r="93" spans="1:4" ht="21" x14ac:dyDescent="0.3">
      <c r="A93" s="6" t="s">
        <v>63</v>
      </c>
      <c r="B93" s="8">
        <f>1470</f>
        <v>1470</v>
      </c>
      <c r="C93" s="8">
        <f>4000</f>
        <v>4000</v>
      </c>
      <c r="D93" s="25">
        <v>8000</v>
      </c>
    </row>
    <row r="94" spans="1:4" ht="21" x14ac:dyDescent="0.3">
      <c r="A94" s="6" t="s">
        <v>66</v>
      </c>
      <c r="B94" s="8">
        <f>31.05</f>
        <v>31.05</v>
      </c>
      <c r="C94" s="8">
        <f>300</f>
        <v>300</v>
      </c>
      <c r="D94" s="25">
        <v>300</v>
      </c>
    </row>
    <row r="95" spans="1:4" ht="21" x14ac:dyDescent="0.3">
      <c r="A95" s="6" t="s">
        <v>125</v>
      </c>
      <c r="B95" s="8"/>
      <c r="C95" s="8"/>
      <c r="D95" s="25">
        <v>1500</v>
      </c>
    </row>
    <row r="96" spans="1:4" ht="21" x14ac:dyDescent="0.3">
      <c r="A96" s="6" t="s">
        <v>74</v>
      </c>
      <c r="B96" s="8">
        <f>536.95</f>
        <v>536.95000000000005</v>
      </c>
      <c r="C96" s="8">
        <f>700</f>
        <v>700</v>
      </c>
      <c r="D96" s="25">
        <v>1200</v>
      </c>
    </row>
    <row r="97" spans="1:4" ht="21" x14ac:dyDescent="0.3">
      <c r="A97" s="6" t="s">
        <v>75</v>
      </c>
      <c r="B97" s="8">
        <f>341.32</f>
        <v>341.32</v>
      </c>
      <c r="C97" s="8">
        <f>700</f>
        <v>700</v>
      </c>
      <c r="D97" s="25">
        <v>1000</v>
      </c>
    </row>
    <row r="98" spans="1:4" ht="21" x14ac:dyDescent="0.3">
      <c r="A98" s="6" t="s">
        <v>76</v>
      </c>
      <c r="B98" s="9">
        <f>(((((((B88)+(B89))+(B91))+(B92))+(B93))+(B94))+(B96))+(B97)</f>
        <v>7605.619999999999</v>
      </c>
      <c r="C98" s="9">
        <f>(((((((C88)+(C89))+(C91))+(C92))+(C93))+(C94))+(C96))+(C97)</f>
        <v>8300</v>
      </c>
      <c r="D98" s="26">
        <f>SUM(D89:D97)</f>
        <v>29800</v>
      </c>
    </row>
    <row r="99" spans="1:4" ht="21" x14ac:dyDescent="0.3">
      <c r="A99" s="6" t="s">
        <v>77</v>
      </c>
      <c r="B99" s="9">
        <f>((((((B63)+(B67))+(B68))+(B72))+(B86))+(B87))+(B98)</f>
        <v>33891.08</v>
      </c>
      <c r="C99" s="9">
        <f>((((((C63)+(C67))+(C68))+(C72))+(C86))+(C87))+(C98)</f>
        <v>39443</v>
      </c>
      <c r="D99" s="26">
        <f>SUM(D67+D68+D72+D86+D87+D98)</f>
        <v>90640</v>
      </c>
    </row>
    <row r="100" spans="1:4" ht="21" x14ac:dyDescent="0.3">
      <c r="A100" s="6" t="s">
        <v>78</v>
      </c>
      <c r="B100" s="7"/>
      <c r="C100" s="7"/>
      <c r="D100" s="17"/>
    </row>
    <row r="101" spans="1:4" ht="21" x14ac:dyDescent="0.3">
      <c r="A101" s="6" t="s">
        <v>79</v>
      </c>
      <c r="B101" s="8">
        <f>12200</f>
        <v>12200</v>
      </c>
      <c r="C101" s="8">
        <f>13809</f>
        <v>13809</v>
      </c>
      <c r="D101" s="17">
        <v>20120</v>
      </c>
    </row>
    <row r="102" spans="1:4" ht="21" x14ac:dyDescent="0.3">
      <c r="A102" s="6" t="s">
        <v>80</v>
      </c>
      <c r="B102" s="8">
        <f>2600</f>
        <v>2600</v>
      </c>
      <c r="C102" s="8">
        <f>2600</f>
        <v>2600</v>
      </c>
      <c r="D102" s="17">
        <v>0</v>
      </c>
    </row>
    <row r="103" spans="1:4" ht="21" x14ac:dyDescent="0.3">
      <c r="A103" s="6" t="s">
        <v>81</v>
      </c>
      <c r="B103" s="8">
        <f>2191.62</f>
        <v>2191.62</v>
      </c>
      <c r="C103" s="8">
        <f>9319</f>
        <v>9319</v>
      </c>
      <c r="D103" s="17">
        <v>0</v>
      </c>
    </row>
    <row r="104" spans="1:4" ht="21" x14ac:dyDescent="0.3">
      <c r="A104" s="6" t="s">
        <v>82</v>
      </c>
      <c r="B104" s="9">
        <f>(((B100)+(B101))+(B102))+(B103)</f>
        <v>16991.62</v>
      </c>
      <c r="C104" s="9">
        <f>(((C100)+(C101))+(C102))+(C103)</f>
        <v>25728</v>
      </c>
      <c r="D104" s="20">
        <f>SUM(D101:D103)</f>
        <v>20120</v>
      </c>
    </row>
    <row r="105" spans="1:4" ht="21" x14ac:dyDescent="0.3">
      <c r="A105" s="6" t="s">
        <v>83</v>
      </c>
      <c r="B105" s="7"/>
      <c r="C105" s="7"/>
      <c r="D105" s="17"/>
    </row>
    <row r="106" spans="1:4" ht="21" x14ac:dyDescent="0.3">
      <c r="A106" s="6" t="s">
        <v>126</v>
      </c>
      <c r="B106" s="7"/>
      <c r="C106" s="7"/>
      <c r="D106" s="17">
        <v>2000</v>
      </c>
    </row>
    <row r="107" spans="1:4" ht="21" x14ac:dyDescent="0.3">
      <c r="A107" s="6" t="s">
        <v>127</v>
      </c>
      <c r="B107" s="7"/>
      <c r="C107" s="7"/>
      <c r="D107" s="17">
        <v>500</v>
      </c>
    </row>
    <row r="108" spans="1:4" ht="21" x14ac:dyDescent="0.3">
      <c r="A108" s="6" t="s">
        <v>84</v>
      </c>
      <c r="B108" s="8">
        <f>1784.15</f>
        <v>1784.15</v>
      </c>
      <c r="C108" s="8">
        <f>1606</f>
        <v>1606</v>
      </c>
      <c r="D108" s="17">
        <v>1800</v>
      </c>
    </row>
    <row r="109" spans="1:4" ht="21" x14ac:dyDescent="0.3">
      <c r="A109" s="6" t="s">
        <v>85</v>
      </c>
      <c r="B109" s="9">
        <f>(B105)+(B108)</f>
        <v>1784.15</v>
      </c>
      <c r="C109" s="9">
        <f>(C105)+(C108)</f>
        <v>1606</v>
      </c>
      <c r="D109" s="20">
        <f>SUM(D106:D108)</f>
        <v>4300</v>
      </c>
    </row>
    <row r="110" spans="1:4" ht="21" x14ac:dyDescent="0.3">
      <c r="A110" s="6" t="s">
        <v>86</v>
      </c>
      <c r="B110" s="7"/>
      <c r="C110" s="7"/>
      <c r="D110" s="17"/>
    </row>
    <row r="111" spans="1:4" ht="42" x14ac:dyDescent="0.3">
      <c r="A111" s="6" t="s">
        <v>87</v>
      </c>
      <c r="B111" s="8">
        <f>286.13</f>
        <v>286.13</v>
      </c>
      <c r="C111" s="8">
        <f>500</f>
        <v>500</v>
      </c>
      <c r="D111" s="17">
        <v>350</v>
      </c>
    </row>
    <row r="112" spans="1:4" ht="21" x14ac:dyDescent="0.3">
      <c r="A112" s="6" t="s">
        <v>88</v>
      </c>
      <c r="B112" s="9">
        <f>(B110)+(B111)</f>
        <v>286.13</v>
      </c>
      <c r="C112" s="9">
        <f>(C110)+(C111)</f>
        <v>500</v>
      </c>
      <c r="D112" s="20">
        <v>350</v>
      </c>
    </row>
    <row r="113" spans="1:4" ht="21" x14ac:dyDescent="0.3">
      <c r="A113" s="6" t="s">
        <v>89</v>
      </c>
      <c r="B113" s="8">
        <f>1.57</f>
        <v>1.57</v>
      </c>
      <c r="C113" s="7"/>
      <c r="D113" s="17"/>
    </row>
    <row r="114" spans="1:4" ht="21" x14ac:dyDescent="0.3">
      <c r="A114" s="6" t="s">
        <v>90</v>
      </c>
      <c r="B114" s="7"/>
      <c r="C114" s="7"/>
      <c r="D114" s="17"/>
    </row>
    <row r="115" spans="1:4" ht="42" x14ac:dyDescent="0.3">
      <c r="A115" s="6" t="s">
        <v>91</v>
      </c>
      <c r="B115" s="8">
        <f>15862.69</f>
        <v>15862.69</v>
      </c>
      <c r="C115" s="8">
        <f>16988</f>
        <v>16988</v>
      </c>
      <c r="D115" s="17">
        <v>17171.25</v>
      </c>
    </row>
    <row r="116" spans="1:4" ht="21" x14ac:dyDescent="0.3">
      <c r="A116" s="6" t="s">
        <v>92</v>
      </c>
      <c r="B116" s="7"/>
      <c r="C116" s="8">
        <f>1000</f>
        <v>1000</v>
      </c>
      <c r="D116" s="17">
        <v>1000</v>
      </c>
    </row>
    <row r="117" spans="1:4" ht="21" x14ac:dyDescent="0.3">
      <c r="A117" s="6" t="s">
        <v>93</v>
      </c>
      <c r="B117" s="8">
        <f>14000</f>
        <v>14000</v>
      </c>
      <c r="C117" s="8">
        <f>13611</f>
        <v>13611</v>
      </c>
      <c r="D117" s="17">
        <v>18000</v>
      </c>
    </row>
    <row r="118" spans="1:4" ht="42" x14ac:dyDescent="0.3">
      <c r="A118" s="6" t="s">
        <v>94</v>
      </c>
      <c r="B118" s="9">
        <f>(((B114)+(B115))+(B116))+(B117)</f>
        <v>29862.690000000002</v>
      </c>
      <c r="C118" s="9">
        <f>(((C114)+(C115))+(C116))+(C117)</f>
        <v>31599</v>
      </c>
      <c r="D118" s="20">
        <f>SUM(D115:D117)</f>
        <v>36171.25</v>
      </c>
    </row>
    <row r="119" spans="1:4" ht="21" x14ac:dyDescent="0.3">
      <c r="A119" s="6" t="s">
        <v>95</v>
      </c>
      <c r="B119" s="7"/>
      <c r="C119" s="7"/>
      <c r="D119" s="17"/>
    </row>
    <row r="120" spans="1:4" ht="21" x14ac:dyDescent="0.3">
      <c r="A120" s="6" t="s">
        <v>96</v>
      </c>
      <c r="B120" s="8">
        <f>79313.4</f>
        <v>79313.399999999994</v>
      </c>
      <c r="C120" s="8">
        <f>84942</f>
        <v>84942</v>
      </c>
      <c r="D120" s="25">
        <v>85856.25</v>
      </c>
    </row>
    <row r="121" spans="1:4" ht="21" x14ac:dyDescent="0.3">
      <c r="A121" s="6" t="s">
        <v>97</v>
      </c>
      <c r="B121" s="8">
        <f>23577.76</f>
        <v>23577.759999999998</v>
      </c>
      <c r="C121" s="8">
        <f>19254</f>
        <v>19254</v>
      </c>
      <c r="D121" s="25">
        <v>28710.33</v>
      </c>
    </row>
    <row r="122" spans="1:4" ht="21" x14ac:dyDescent="0.3">
      <c r="A122" s="6" t="s">
        <v>98</v>
      </c>
      <c r="B122" s="8">
        <f>6613.98</f>
        <v>6613.98</v>
      </c>
      <c r="C122" s="8">
        <f>15240</f>
        <v>15240</v>
      </c>
      <c r="D122" s="25">
        <v>25688.19</v>
      </c>
    </row>
    <row r="123" spans="1:4" ht="21" x14ac:dyDescent="0.3">
      <c r="A123" s="6" t="s">
        <v>99</v>
      </c>
      <c r="B123" s="9">
        <f>(((B119)+(B120))+(B121))+(B122)</f>
        <v>109505.13999999998</v>
      </c>
      <c r="C123" s="9">
        <f>(((C119)+(C120))+(C121))+(C122)</f>
        <v>119436</v>
      </c>
      <c r="D123" s="20">
        <f>SUM(D120:D122)</f>
        <v>140254.76999999999</v>
      </c>
    </row>
    <row r="124" spans="1:4" ht="21" x14ac:dyDescent="0.3">
      <c r="A124" s="6" t="s">
        <v>100</v>
      </c>
      <c r="B124" s="7"/>
      <c r="C124" s="7"/>
      <c r="D124" s="17"/>
    </row>
    <row r="125" spans="1:4" ht="42" x14ac:dyDescent="0.3">
      <c r="A125" s="6" t="s">
        <v>101</v>
      </c>
      <c r="B125" s="8">
        <f>6325.83</f>
        <v>6325.83</v>
      </c>
      <c r="C125" s="8">
        <f>7200</f>
        <v>7200</v>
      </c>
      <c r="D125" s="17">
        <v>7200</v>
      </c>
    </row>
    <row r="126" spans="1:4" ht="21" x14ac:dyDescent="0.3">
      <c r="A126" s="6" t="s">
        <v>129</v>
      </c>
      <c r="B126" s="8"/>
      <c r="C126" s="8"/>
      <c r="D126" s="17">
        <v>10000</v>
      </c>
    </row>
    <row r="127" spans="1:4" ht="21" x14ac:dyDescent="0.3">
      <c r="A127" s="6" t="s">
        <v>128</v>
      </c>
      <c r="B127" s="8"/>
      <c r="C127" s="8"/>
      <c r="D127" s="17">
        <v>0</v>
      </c>
    </row>
    <row r="128" spans="1:4" ht="21" x14ac:dyDescent="0.3">
      <c r="A128" s="6" t="s">
        <v>102</v>
      </c>
      <c r="B128" s="7"/>
      <c r="C128" s="8">
        <f>500</f>
        <v>500</v>
      </c>
      <c r="D128" s="17">
        <v>0</v>
      </c>
    </row>
    <row r="129" spans="1:4" ht="21" x14ac:dyDescent="0.3">
      <c r="A129" s="6" t="s">
        <v>103</v>
      </c>
      <c r="B129" s="9">
        <f>((B124)+(B125))+(B128)</f>
        <v>6325.83</v>
      </c>
      <c r="C129" s="9">
        <f>((C124)+(C125))+(C128)</f>
        <v>7700</v>
      </c>
      <c r="D129" s="20">
        <f>SUM(D125:D128)</f>
        <v>17200</v>
      </c>
    </row>
    <row r="130" spans="1:4" ht="21" x14ac:dyDescent="0.3">
      <c r="A130" s="6" t="s">
        <v>104</v>
      </c>
      <c r="B130" s="9">
        <f>(((((((((B61)+(B62))+(B99))+(B104))+(B109))+(B112))+(B113))+(B118))+(B123))+(B129)</f>
        <v>203240.23999999996</v>
      </c>
      <c r="C130" s="9">
        <f>(((((((((C61)+(C62))+(C99))+(C104))+(C109))+(C112))+(C113))+(C118))+(C123))+(C129)</f>
        <v>233514.66</v>
      </c>
      <c r="D130" s="20">
        <f>SUM(D61+D67+D68+D72+D86+D87+D98+D104+D109+D112+D118+D123+D129)</f>
        <v>318616.02</v>
      </c>
    </row>
    <row r="131" spans="1:4" ht="21" x14ac:dyDescent="0.3">
      <c r="A131" s="6" t="s">
        <v>105</v>
      </c>
      <c r="B131" s="9">
        <f>(B49)-(B130)</f>
        <v>13713.950000000041</v>
      </c>
      <c r="C131" s="9">
        <f>(C49)-(C130)</f>
        <v>-87485.66</v>
      </c>
      <c r="D131" s="16">
        <f>D49-D130</f>
        <v>-63276.020000000019</v>
      </c>
    </row>
    <row r="132" spans="1:4" ht="21" x14ac:dyDescent="0.3">
      <c r="A132" s="6" t="s">
        <v>106</v>
      </c>
      <c r="B132" s="7"/>
      <c r="C132" s="7"/>
      <c r="D132" s="16">
        <v>0</v>
      </c>
    </row>
    <row r="133" spans="1:4" ht="21" x14ac:dyDescent="0.3">
      <c r="A133" s="6" t="s">
        <v>107</v>
      </c>
      <c r="B133" s="8">
        <f>-1417.97</f>
        <v>-1417.97</v>
      </c>
      <c r="C133" s="7"/>
      <c r="D133" s="17">
        <v>0</v>
      </c>
    </row>
    <row r="134" spans="1:4" ht="21" x14ac:dyDescent="0.3">
      <c r="A134" s="6" t="s">
        <v>108</v>
      </c>
      <c r="B134" s="9">
        <f>B133</f>
        <v>-1417.97</v>
      </c>
      <c r="C134" s="9">
        <f>C133</f>
        <v>0</v>
      </c>
      <c r="D134" s="27">
        <v>0</v>
      </c>
    </row>
    <row r="135" spans="1:4" ht="21" x14ac:dyDescent="0.3">
      <c r="A135" s="6" t="s">
        <v>109</v>
      </c>
      <c r="B135" s="9">
        <f>(0)-(B134)</f>
        <v>1417.97</v>
      </c>
      <c r="C135" s="9">
        <f>(0)-(C134)</f>
        <v>0</v>
      </c>
      <c r="D135" s="28">
        <v>0</v>
      </c>
    </row>
    <row r="136" spans="1:4" ht="21" x14ac:dyDescent="0.3">
      <c r="A136" s="6" t="s">
        <v>110</v>
      </c>
      <c r="B136" s="10">
        <f>(B131)+(B135)</f>
        <v>15131.92000000004</v>
      </c>
      <c r="C136" s="10">
        <f>(C131)+(C135)</f>
        <v>-87485.66</v>
      </c>
      <c r="D136" s="20">
        <f>D131+D135</f>
        <v>-63276.020000000019</v>
      </c>
    </row>
    <row r="137" spans="1:4" x14ac:dyDescent="0.3">
      <c r="A137" s="6"/>
      <c r="B137" s="7"/>
      <c r="C137" s="7"/>
      <c r="D137" s="16"/>
    </row>
    <row r="140" spans="1:4" x14ac:dyDescent="0.3">
      <c r="A140" s="11" t="s">
        <v>111</v>
      </c>
      <c r="B140" s="2"/>
      <c r="C140" s="2"/>
      <c r="D140" s="2"/>
    </row>
  </sheetData>
  <mergeCells count="6">
    <mergeCell ref="A140:D140"/>
    <mergeCell ref="A1:D1"/>
    <mergeCell ref="A2:D2"/>
    <mergeCell ref="A3:D3"/>
    <mergeCell ref="B5:C5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604C6-EC40-CD4D-A639-6F0754D57123}">
  <dimension ref="A1:C24"/>
  <sheetViews>
    <sheetView tabSelected="1" workbookViewId="0">
      <selection activeCell="E24" sqref="E24"/>
    </sheetView>
  </sheetViews>
  <sheetFormatPr baseColWidth="10" defaultRowHeight="20" x14ac:dyDescent="0.3"/>
  <cols>
    <col min="1" max="1" width="75.5" style="33" customWidth="1"/>
    <col min="2" max="2" width="15.83203125" style="46" bestFit="1" customWidth="1"/>
    <col min="3" max="16384" width="10.83203125" style="3"/>
  </cols>
  <sheetData>
    <row r="1" spans="1:3" x14ac:dyDescent="0.3">
      <c r="A1" s="31"/>
      <c r="B1" s="39"/>
      <c r="C1" s="32"/>
    </row>
    <row r="2" spans="1:3" ht="21" x14ac:dyDescent="0.3">
      <c r="A2" s="4" t="s">
        <v>155</v>
      </c>
      <c r="B2" s="40">
        <v>176000</v>
      </c>
      <c r="C2" s="30"/>
    </row>
    <row r="3" spans="1:3" x14ac:dyDescent="0.3">
      <c r="A3" s="33" t="s">
        <v>145</v>
      </c>
      <c r="B3" s="40">
        <f>'Budget vs. Actuals'!D48</f>
        <v>255340</v>
      </c>
      <c r="C3" s="30"/>
    </row>
    <row r="4" spans="1:3" x14ac:dyDescent="0.3">
      <c r="A4" s="34" t="s">
        <v>131</v>
      </c>
      <c r="B4" s="41">
        <f>SUM(B2+B3)</f>
        <v>431340</v>
      </c>
      <c r="C4" s="35"/>
    </row>
    <row r="5" spans="1:3" x14ac:dyDescent="0.3">
      <c r="A5" s="33" t="s">
        <v>132</v>
      </c>
      <c r="B5" s="40"/>
      <c r="C5" s="36"/>
    </row>
    <row r="6" spans="1:3" x14ac:dyDescent="0.3">
      <c r="A6" s="33" t="s">
        <v>146</v>
      </c>
      <c r="B6" s="40">
        <f>'Budget vs. Actuals'!D61</f>
        <v>9580</v>
      </c>
    </row>
    <row r="7" spans="1:3" x14ac:dyDescent="0.3">
      <c r="A7" s="33" t="s">
        <v>133</v>
      </c>
      <c r="B7" s="40">
        <v>0</v>
      </c>
      <c r="C7" s="3" t="s">
        <v>157</v>
      </c>
    </row>
    <row r="8" spans="1:3" x14ac:dyDescent="0.3">
      <c r="A8" s="33" t="s">
        <v>134</v>
      </c>
      <c r="B8" s="40">
        <f>'Budget vs. Actuals'!D72</f>
        <v>3500</v>
      </c>
    </row>
    <row r="9" spans="1:3" x14ac:dyDescent="0.3">
      <c r="A9" s="33" t="s">
        <v>135</v>
      </c>
      <c r="B9" s="40">
        <f>'Budget vs. Actuals'!D86</f>
        <v>57030</v>
      </c>
    </row>
    <row r="10" spans="1:3" x14ac:dyDescent="0.3">
      <c r="A10" s="33" t="s">
        <v>136</v>
      </c>
      <c r="B10" s="40">
        <f>'Budget vs. Actuals'!D98</f>
        <v>29800</v>
      </c>
    </row>
    <row r="11" spans="1:3" ht="19" customHeight="1" x14ac:dyDescent="0.3">
      <c r="A11" s="33" t="s">
        <v>147</v>
      </c>
      <c r="B11" s="40">
        <f>'Budget vs. Actuals'!D68+'Budget vs. Actuals'!D87+'Budget vs. Actuals'!D112</f>
        <v>660</v>
      </c>
    </row>
    <row r="12" spans="1:3" x14ac:dyDescent="0.3">
      <c r="A12" s="37" t="s">
        <v>137</v>
      </c>
      <c r="B12" s="42">
        <f>'Budget vs. Actuals'!D101</f>
        <v>20120</v>
      </c>
      <c r="C12" s="3" t="s">
        <v>153</v>
      </c>
    </row>
    <row r="13" spans="1:3" x14ac:dyDescent="0.3">
      <c r="A13" s="37" t="s">
        <v>138</v>
      </c>
      <c r="B13" s="42">
        <v>0</v>
      </c>
      <c r="C13" s="3" t="s">
        <v>156</v>
      </c>
    </row>
    <row r="14" spans="1:3" x14ac:dyDescent="0.3">
      <c r="A14" s="37" t="s">
        <v>148</v>
      </c>
      <c r="B14" s="43">
        <f>'Budget vs. Actuals'!D109</f>
        <v>4300</v>
      </c>
    </row>
    <row r="15" spans="1:3" x14ac:dyDescent="0.3">
      <c r="A15" s="37" t="s">
        <v>139</v>
      </c>
      <c r="B15" s="42">
        <f>'Budget vs. Actuals'!D129</f>
        <v>17200</v>
      </c>
      <c r="C15" s="3" t="s">
        <v>154</v>
      </c>
    </row>
    <row r="16" spans="1:3" ht="19" customHeight="1" x14ac:dyDescent="0.3">
      <c r="A16" s="38" t="s">
        <v>140</v>
      </c>
      <c r="B16" s="42">
        <f>'Budget vs. Actuals'!D116+'Budget vs. Actuals'!D117</f>
        <v>19000</v>
      </c>
      <c r="C16" s="3" t="s">
        <v>149</v>
      </c>
    </row>
    <row r="17" spans="1:3" x14ac:dyDescent="0.3">
      <c r="A17" s="37" t="s">
        <v>141</v>
      </c>
      <c r="B17" s="42">
        <f>'Budget vs. Actuals'!D115</f>
        <v>17171.25</v>
      </c>
      <c r="C17" s="3" t="s">
        <v>150</v>
      </c>
    </row>
    <row r="18" spans="1:3" x14ac:dyDescent="0.3">
      <c r="A18" s="37" t="s">
        <v>142</v>
      </c>
      <c r="B18" s="42">
        <f>'Budget vs. Actuals'!D122</f>
        <v>25688.19</v>
      </c>
      <c r="C18" s="3" t="s">
        <v>151</v>
      </c>
    </row>
    <row r="19" spans="1:3" x14ac:dyDescent="0.3">
      <c r="A19" s="37" t="s">
        <v>143</v>
      </c>
      <c r="B19" s="42">
        <f>'Budget vs. Actuals'!D120</f>
        <v>85856.25</v>
      </c>
      <c r="C19" s="3" t="s">
        <v>150</v>
      </c>
    </row>
    <row r="20" spans="1:3" x14ac:dyDescent="0.3">
      <c r="A20" s="37" t="s">
        <v>144</v>
      </c>
      <c r="B20" s="42">
        <f>'Budget vs. Actuals'!D121</f>
        <v>28710.33</v>
      </c>
      <c r="C20" s="3" t="s">
        <v>152</v>
      </c>
    </row>
    <row r="21" spans="1:3" x14ac:dyDescent="0.3">
      <c r="A21" s="37"/>
      <c r="B21" s="42"/>
    </row>
    <row r="22" spans="1:3" x14ac:dyDescent="0.3">
      <c r="A22" s="33" t="s">
        <v>104</v>
      </c>
      <c r="B22" s="44">
        <f>SUM(B6:B20)</f>
        <v>318616.02</v>
      </c>
    </row>
    <row r="23" spans="1:3" x14ac:dyDescent="0.3">
      <c r="B23" s="40"/>
    </row>
    <row r="24" spans="1:3" x14ac:dyDescent="0.3">
      <c r="A24" s="33" t="s">
        <v>158</v>
      </c>
      <c r="B24" s="45">
        <f>B4-B22</f>
        <v>112723.97999999998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vs. Actuals</vt:lpstr>
      <vt:lpstr>High Level CASH 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 grant</cp:lastModifiedBy>
  <dcterms:created xsi:type="dcterms:W3CDTF">2021-06-07T15:51:49Z</dcterms:created>
  <dcterms:modified xsi:type="dcterms:W3CDTF">2021-06-08T15:15:28Z</dcterms:modified>
</cp:coreProperties>
</file>